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DES\focus\Personal\ALICIA\ARTISTAS\DESGLOSE CONCEPTOS RETRIBUTIVOS\"/>
    </mc:Choice>
  </mc:AlternateContent>
  <xr:revisionPtr revIDLastSave="0" documentId="13_ncr:1_{377F93A8-4276-44A2-8A18-677D31BD1DD5}" xr6:coauthVersionLast="47" xr6:coauthVersionMax="47" xr10:uidLastSave="{00000000-0000-0000-0000-000000000000}"/>
  <bookViews>
    <workbookView xWindow="-120" yWindow="-120" windowWidth="29040" windowHeight="15840" tabRatio="434" firstSheet="4" activeTab="4" xr2:uid="{104098A3-B0BF-4925-A826-820DA4DDD3C6}"/>
  </bookViews>
  <sheets>
    <sheet name="Salario minimo Eventuales &lt; 180" sheetId="21" r:id="rId1"/>
    <sheet name="Hoja1" sheetId="23" state="hidden" r:id="rId2"/>
    <sheet name="Hoja 2 Festius" sheetId="24" state="hidden" r:id="rId3"/>
    <sheet name="DESGLOSE CONCEPTOS (focus)" sheetId="22" state="hidden" r:id="rId4"/>
    <sheet name="Desglose automático" sheetId="30" r:id="rId5"/>
    <sheet name="Guía rápida (ES)" sheetId="29" r:id="rId6"/>
  </sheets>
  <definedNames>
    <definedName name="_xlnm.Print_Area" localSheetId="4">'Desglose automático'!$B$7:$M$41</definedName>
    <definedName name="_xlnm.Print_Area" localSheetId="3">'DESGLOSE CONCEPTOS (focus)'!$B$1:$M$40</definedName>
    <definedName name="_xlnm.Print_Area" localSheetId="2">'Hoja 2 Festius'!$B$1:$I$24</definedName>
    <definedName name="_xlnm.Print_Area" localSheetId="1">Hoja1!$B$1:$I$24</definedName>
    <definedName name="_xlnm.Print_Area" localSheetId="0">'Salario minimo Eventuales &lt; 180'!$A$7:$J$46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0" l="1"/>
  <c r="C16" i="30" s="1"/>
  <c r="B20" i="29"/>
  <c r="D16" i="29"/>
  <c r="D15" i="29"/>
  <c r="D14" i="29"/>
  <c r="D13" i="29"/>
  <c r="D12" i="29"/>
  <c r="D11" i="29"/>
  <c r="B35" i="29"/>
  <c r="B36" i="29" s="1"/>
  <c r="B30" i="29"/>
  <c r="B31" i="29" s="1"/>
  <c r="O19" i="24"/>
  <c r="O20" i="24" s="1"/>
  <c r="O17" i="24" s="1"/>
  <c r="O14" i="24"/>
  <c r="O15" i="24" s="1"/>
  <c r="G14" i="24"/>
  <c r="G15" i="24" s="1"/>
  <c r="O9" i="24"/>
  <c r="O10" i="24"/>
  <c r="G9" i="24"/>
  <c r="G10" i="24"/>
  <c r="K3" i="24"/>
  <c r="C3" i="24"/>
  <c r="L5" i="22"/>
  <c r="F6" i="22"/>
  <c r="L6" i="22"/>
  <c r="C7" i="22"/>
  <c r="L10" i="22"/>
  <c r="L11" i="22"/>
  <c r="H19" i="22"/>
  <c r="J30" i="22"/>
  <c r="J32" i="22"/>
  <c r="J34" i="22"/>
  <c r="F35" i="22"/>
  <c r="C3" i="23"/>
  <c r="K3" i="23"/>
  <c r="K6" i="23"/>
  <c r="G9" i="23"/>
  <c r="O9" i="23"/>
  <c r="G10" i="23"/>
  <c r="O10" i="23"/>
  <c r="G14" i="23"/>
  <c r="O14" i="23"/>
  <c r="G15" i="23"/>
  <c r="O15" i="23"/>
  <c r="G11" i="21"/>
  <c r="G12" i="21"/>
  <c r="G16" i="21"/>
  <c r="G17" i="21" s="1"/>
  <c r="B45" i="21"/>
  <c r="B46" i="21"/>
  <c r="F11" i="29" l="1"/>
  <c r="C17" i="30"/>
  <c r="F12" i="29" s="1"/>
  <c r="C18" i="30"/>
  <c r="K7" i="24"/>
  <c r="K14" i="24" s="1"/>
  <c r="K15" i="24" s="1"/>
  <c r="K16" i="24" s="1"/>
  <c r="C7" i="24"/>
  <c r="C14" i="24" s="1"/>
  <c r="C7" i="23"/>
  <c r="C14" i="23" s="1"/>
  <c r="K7" i="23"/>
  <c r="K14" i="23" s="1"/>
  <c r="G3" i="22"/>
  <c r="C15" i="22" s="1"/>
  <c r="O4" i="22"/>
  <c r="O5" i="22"/>
  <c r="L30" i="22"/>
  <c r="L31" i="22" s="1"/>
  <c r="L32" i="22" s="1"/>
  <c r="C15" i="23"/>
  <c r="C16" i="23"/>
  <c r="K15" i="23"/>
  <c r="K16" i="23" s="1"/>
  <c r="C9" i="21"/>
  <c r="C16" i="21" s="1"/>
  <c r="F13" i="29" l="1"/>
  <c r="C20" i="30"/>
  <c r="C19" i="30"/>
  <c r="C23" i="30" s="1"/>
  <c r="C15" i="24"/>
  <c r="C16" i="24" s="1"/>
  <c r="K17" i="24"/>
  <c r="K18" i="24"/>
  <c r="K19" i="24"/>
  <c r="C16" i="22"/>
  <c r="C17" i="22" s="1"/>
  <c r="E15" i="22"/>
  <c r="D15" i="22"/>
  <c r="C17" i="23"/>
  <c r="C18" i="23"/>
  <c r="K19" i="23"/>
  <c r="K18" i="23"/>
  <c r="K17" i="23"/>
  <c r="K20" i="23" s="1"/>
  <c r="C17" i="21"/>
  <c r="C18" i="21"/>
  <c r="C21" i="30" l="1"/>
  <c r="F14" i="29"/>
  <c r="F15" i="29"/>
  <c r="K20" i="24"/>
  <c r="C19" i="23"/>
  <c r="C18" i="24"/>
  <c r="C17" i="24"/>
  <c r="C19" i="24" s="1"/>
  <c r="C19" i="22"/>
  <c r="C18" i="22"/>
  <c r="E16" i="22"/>
  <c r="D16" i="22"/>
  <c r="I17" i="22"/>
  <c r="E17" i="22"/>
  <c r="C20" i="21"/>
  <c r="C19" i="21"/>
  <c r="C21" i="21" s="1"/>
  <c r="B21" i="29" l="1"/>
  <c r="B22" i="29" s="1"/>
  <c r="B23" i="29" s="1"/>
  <c r="F16" i="29"/>
  <c r="C21" i="22"/>
  <c r="D19" i="22"/>
  <c r="I16" i="22"/>
  <c r="J17" i="22"/>
  <c r="F31" i="22"/>
  <c r="E19" i="22"/>
  <c r="E18" i="22"/>
  <c r="B26" i="22" s="1"/>
  <c r="D18" i="22"/>
  <c r="C20" i="22"/>
  <c r="D20" i="22" l="1"/>
  <c r="E20" i="22"/>
  <c r="I19" i="22"/>
  <c r="J16" i="22"/>
  <c r="F39" i="22"/>
  <c r="F40" i="22" s="1"/>
  <c r="F32" i="22"/>
  <c r="L17" i="22"/>
  <c r="M17" i="22" s="1"/>
  <c r="K17" i="22"/>
  <c r="J19" i="22" l="1"/>
  <c r="I20" i="22" s="1"/>
  <c r="L16" i="22"/>
  <c r="K16" i="22"/>
  <c r="M16" i="22" s="1"/>
  <c r="M19" i="22" s="1"/>
  <c r="L19" i="22" l="1"/>
  <c r="L20" i="22"/>
  <c r="K19" i="22"/>
  <c r="K20" i="22"/>
  <c r="M20" i="22" l="1"/>
  <c r="J22" i="22"/>
</calcChain>
</file>

<file path=xl/sharedStrings.xml><?xml version="1.0" encoding="utf-8"?>
<sst xmlns="http://schemas.openxmlformats.org/spreadsheetml/2006/main" count="163" uniqueCount="87">
  <si>
    <t xml:space="preserve"> </t>
  </si>
  <si>
    <t>SB</t>
  </si>
  <si>
    <t>P.P.E</t>
  </si>
  <si>
    <t>VACACIONES</t>
  </si>
  <si>
    <t>INDEMINIZACIÓN</t>
  </si>
  <si>
    <t>INDEMNIZACIÓN</t>
  </si>
  <si>
    <t>TOTAL</t>
  </si>
  <si>
    <t>JUNIO</t>
  </si>
  <si>
    <t>DIAS</t>
  </si>
  <si>
    <t>PPE</t>
  </si>
  <si>
    <t>PPVACA</t>
  </si>
  <si>
    <t>PP INDEM</t>
  </si>
  <si>
    <t>IMP.TOTAL</t>
  </si>
  <si>
    <t>Retribución 30 dias</t>
  </si>
  <si>
    <t>Iindemnización 12 dias</t>
  </si>
  <si>
    <t>Indemnización 12d/ 58 dias trab.</t>
  </si>
  <si>
    <t xml:space="preserve">Vacaciones 58 dias trabaj. </t>
  </si>
  <si>
    <t>NOMINA</t>
  </si>
  <si>
    <t>Importe mensual</t>
  </si>
  <si>
    <t>FECHA INICIO</t>
  </si>
  <si>
    <t>FECHA FIN</t>
  </si>
  <si>
    <t>DIAS (360)</t>
  </si>
  <si>
    <t>30 DIAS/ en base a 61d</t>
  </si>
  <si>
    <t>COMPROBACION</t>
  </si>
  <si>
    <t>JULIO</t>
  </si>
  <si>
    <t>SBCALC</t>
  </si>
  <si>
    <t>SB + P.P.EX</t>
  </si>
  <si>
    <t>Salario mínimo jornada legal eventuales</t>
  </si>
  <si>
    <t>INDEMNIZACIÓN (12 días/año trabajado)</t>
  </si>
  <si>
    <t>Parte proporcional Vacaciones e Indemización por fin de contrato</t>
  </si>
  <si>
    <t xml:space="preserve"> * incluye pagas extras y descanso festivos</t>
  </si>
  <si>
    <t>SALARIO BASE</t>
  </si>
  <si>
    <t>P.P.PAGAS EXTRAS</t>
  </si>
  <si>
    <t>P.P.VACACIONES</t>
  </si>
  <si>
    <t>RD 99/2023 POR EL QUE SE FIJA EL SALARIO MÍNIMO INTERPROFESIONAL PARA 2023</t>
  </si>
  <si>
    <t>P.P. INDEMNIZACIÓN</t>
  </si>
  <si>
    <t>DERECHOS PI</t>
  </si>
  <si>
    <t>Dº PI</t>
  </si>
  <si>
    <t>IRPF</t>
  </si>
  <si>
    <t>FESTIVOS (14 días/año)</t>
  </si>
  <si>
    <t>P.P.FESTIVOS</t>
  </si>
  <si>
    <t>Valor</t>
  </si>
  <si>
    <t>GUÍA RÁPIDA — DESGLOSE AUTOMÁTICO DE CONCEPTOS</t>
  </si>
  <si>
    <t>Esta guía explica cómo utilizar la hoja de cálculo y qué calcula cada concepto.</t>
  </si>
  <si>
    <t>Para volver al cálculo, selecciona la hoja «Desglose automático».</t>
  </si>
  <si>
    <t>Paso</t>
  </si>
  <si>
    <t>Qué debes hacer</t>
  </si>
  <si>
    <t>Ve a la hoja «Desglose automático» e introduce el importe total en la celda C12.</t>
  </si>
  <si>
    <t>No modifiques las celdas con fórmula: el resto del desglose se calcula automáticamente.</t>
  </si>
  <si>
    <t>Revisa el resultado en las celdas C16:C21 y la retribución sin indemnización en C23.</t>
  </si>
  <si>
    <t>Concepto</t>
  </si>
  <si>
    <t>Qué calcula</t>
  </si>
  <si>
    <t>Referencia</t>
  </si>
  <si>
    <t>Resultado actual</t>
  </si>
  <si>
    <t>Salario base</t>
  </si>
  <si>
    <t>Base calculada a partir del total introducido.</t>
  </si>
  <si>
    <t>Prorrateo de pagas extras</t>
  </si>
  <si>
    <t>2 pagas extras / 12 meses.</t>
  </si>
  <si>
    <t>Total base + pagas</t>
  </si>
  <si>
    <t>Suma del salario base y las pagas extras.</t>
  </si>
  <si>
    <t>Prorrateo de vacaciones</t>
  </si>
  <si>
    <t>30 días / 360 días = 8,33 %.</t>
  </si>
  <si>
    <t>Prorrateo de indemnización</t>
  </si>
  <si>
    <t>12 días / 365 días = 3,29 %.</t>
  </si>
  <si>
    <t>Total calculado</t>
  </si>
  <si>
    <t>Puede diferir hasta 0,01 € del importe introducido por redondeo.</t>
  </si>
  <si>
    <t>Comprobación</t>
  </si>
  <si>
    <t>Importe introducido</t>
  </si>
  <si>
    <t>Diferencia</t>
  </si>
  <si>
    <t>Estado</t>
  </si>
  <si>
    <t>REGLAS DE CÁLCULO Y EQUIVALENCIAS</t>
  </si>
  <si>
    <t>días de vacaciones por año</t>
  </si>
  <si>
    <t>días equivalentes por 30 días</t>
  </si>
  <si>
    <t>coeficiente por 1 día</t>
  </si>
  <si>
    <t>días de indemnización por año</t>
  </si>
  <si>
    <t>DESGLOSE AUTOMÁTICO DE CONCEPTOS</t>
  </si>
  <si>
    <t>📘 Guía rápida: abre la hoja «Guía rápida (ES)» para consultar las instrucciones y reglas de cálculo</t>
  </si>
  <si>
    <t>BASE DE CÁLCULO</t>
  </si>
  <si>
    <t>2. DESGLOSE CALCULADO</t>
  </si>
  <si>
    <t>PRORRATEO DE PAGAS EXTRAS</t>
  </si>
  <si>
    <t>TOTAL BASE + PAGAS</t>
  </si>
  <si>
    <t>PRORRATEO DE VACACIONES</t>
  </si>
  <si>
    <t>PRORRATEO DE INDEMNIZACIÓN (12 días/año)</t>
  </si>
  <si>
    <t>RETRIBUCIÓN TOTAL</t>
  </si>
  <si>
    <t>Retribución sin indemnización</t>
  </si>
  <si>
    <t>INTRODUCIR IMPORTE TOTAL</t>
  </si>
  <si>
    <t>← Modificar solo este 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</si>
</sst>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pta&quot;_-;\-* #,##0.00\ &quot;pta&quot;_-;_-* &quot;-&quot;??\ &quot;pta&quot;_-;_-@_-"/>
    <numFmt numFmtId="165" formatCode="_-* #,##0.00\ _p_t_a_-;\-* #,##0.00\ _p_t_a_-;_-* &quot;-&quot;??\ _p_t_a_-;_-@_-"/>
    <numFmt numFmtId="166" formatCode="0.0"/>
    <numFmt numFmtId="167" formatCode="0.000"/>
    <numFmt numFmtId="168" formatCode="_-* #,##0.00\ [$€-C0A]_-;\-* #,##0.00\ [$€-C0A]_-;_-* &quot;-&quot;??\ [$€-C0A]_-;_-@_-"/>
    <numFmt numFmtId="169" formatCode="_-* #,##0\ _p_t_a_-;\-* #,##0\ _p_t_a_-;_-* &quot;-&quot;??\ _p_t_a_-;_-@_-"/>
    <numFmt numFmtId="170" formatCode="_-* #,##0.000\ _p_t_a_-;\-* #,##0.000\ _p_t_a_-;_-* &quot;-&quot;??\ _p_t_a_-;_-@_-"/>
    <numFmt numFmtId="171" formatCode="#,##0.00\ \€"/>
  </numFmts>
  <fonts count="26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4"/>
      <color rgb="FFFFFFFF"/>
      <name val="Arial"/>
      <family val="2"/>
    </font>
    <font>
      <b/>
      <sz val="10"/>
      <color rgb="FF1F4E78"/>
      <name val="Arial"/>
      <family val="2"/>
    </font>
    <font>
      <b/>
      <sz val="15"/>
      <color rgb="FFFFFFFF"/>
      <name val="Arial"/>
      <family val="2"/>
    </font>
    <font>
      <b/>
      <i/>
      <sz val="10"/>
      <color rgb="FF1F4E78"/>
      <name val="Arial"/>
      <family val="2"/>
    </font>
    <font>
      <b/>
      <sz val="14"/>
      <color rgb="FFC00000"/>
      <name val="Calibri"/>
      <family val="2"/>
    </font>
    <font>
      <b/>
      <sz val="11"/>
      <color rgb="FF1F4E78"/>
      <name val="Arial"/>
      <family val="2"/>
    </font>
    <font>
      <sz val="11"/>
      <name val="Arial"/>
      <family val="2"/>
    </font>
    <font>
      <b/>
      <sz val="14"/>
      <color rgb="FF7F6000"/>
      <name val="Arial"/>
      <family val="2"/>
    </font>
    <font>
      <b/>
      <sz val="11"/>
      <name val="Arial"/>
      <family val="2"/>
    </font>
    <font>
      <b/>
      <sz val="11"/>
      <color rgb="FFFA7D00"/>
      <name val="Arial"/>
      <family val="2"/>
    </font>
    <font>
      <b/>
      <sz val="11"/>
      <color theme="1" tint="0.3499862666707357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8FBF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EAF4FF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5">
    <xf numFmtId="0" fontId="0" fillId="0" borderId="0"/>
    <xf numFmtId="0" fontId="8" fillId="2" borderId="13" applyNumberFormat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2" fontId="0" fillId="0" borderId="0" xfId="0" applyNumberFormat="1"/>
    <xf numFmtId="168" fontId="0" fillId="0" borderId="0" xfId="3" applyNumberFormat="1" applyFont="1"/>
    <xf numFmtId="168" fontId="0" fillId="0" borderId="0" xfId="0" applyNumberFormat="1"/>
    <xf numFmtId="16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/>
    <xf numFmtId="168" fontId="0" fillId="0" borderId="1" xfId="0" applyNumberFormat="1" applyBorder="1"/>
    <xf numFmtId="168" fontId="2" fillId="0" borderId="0" xfId="3" applyNumberFormat="1" applyFont="1" applyFill="1" applyBorder="1"/>
    <xf numFmtId="168" fontId="0" fillId="0" borderId="0" xfId="3" applyNumberFormat="1" applyFont="1" applyFill="1" applyBorder="1"/>
    <xf numFmtId="168" fontId="2" fillId="0" borderId="0" xfId="0" applyNumberFormat="1" applyFont="1"/>
    <xf numFmtId="0" fontId="3" fillId="0" borderId="1" xfId="0" applyFont="1" applyBorder="1"/>
    <xf numFmtId="168" fontId="3" fillId="0" borderId="1" xfId="0" applyNumberFormat="1" applyFont="1" applyBorder="1"/>
    <xf numFmtId="0" fontId="0" fillId="3" borderId="0" xfId="0" applyFill="1"/>
    <xf numFmtId="0" fontId="0" fillId="4" borderId="0" xfId="0" applyFill="1"/>
    <xf numFmtId="168" fontId="0" fillId="5" borderId="0" xfId="0" applyNumberFormat="1" applyFill="1"/>
    <xf numFmtId="168" fontId="4" fillId="5" borderId="0" xfId="3" applyNumberFormat="1" applyFont="1" applyFill="1" applyBorder="1"/>
    <xf numFmtId="168" fontId="4" fillId="5" borderId="1" xfId="3" applyNumberFormat="1" applyFont="1" applyFill="1" applyBorder="1"/>
    <xf numFmtId="0" fontId="2" fillId="3" borderId="0" xfId="0" applyFont="1" applyFill="1"/>
    <xf numFmtId="0" fontId="2" fillId="4" borderId="0" xfId="0" applyFont="1" applyFill="1"/>
    <xf numFmtId="166" fontId="0" fillId="4" borderId="0" xfId="0" applyNumberFormat="1" applyFill="1"/>
    <xf numFmtId="168" fontId="2" fillId="0" borderId="1" xfId="0" applyNumberFormat="1" applyFont="1" applyBorder="1"/>
    <xf numFmtId="168" fontId="3" fillId="3" borderId="0" xfId="0" applyNumberFormat="1" applyFont="1" applyFill="1"/>
    <xf numFmtId="168" fontId="3" fillId="4" borderId="0" xfId="0" applyNumberFormat="1" applyFont="1" applyFill="1"/>
    <xf numFmtId="167" fontId="0" fillId="3" borderId="0" xfId="0" applyNumberFormat="1" applyFill="1"/>
    <xf numFmtId="167" fontId="0" fillId="4" borderId="0" xfId="0" applyNumberFormat="1" applyFill="1"/>
    <xf numFmtId="0" fontId="3" fillId="6" borderId="1" xfId="0" applyFont="1" applyFill="1" applyBorder="1" applyAlignment="1">
      <alignment horizontal="center"/>
    </xf>
    <xf numFmtId="10" fontId="0" fillId="0" borderId="0" xfId="4" applyNumberFormat="1" applyFont="1"/>
    <xf numFmtId="10" fontId="0" fillId="0" borderId="0" xfId="0" applyNumberFormat="1"/>
    <xf numFmtId="168" fontId="4" fillId="4" borderId="2" xfId="3" applyNumberFormat="1" applyFont="1" applyFill="1" applyBorder="1"/>
    <xf numFmtId="168" fontId="4" fillId="4" borderId="3" xfId="3" applyNumberFormat="1" applyFont="1" applyFill="1" applyBorder="1"/>
    <xf numFmtId="168" fontId="3" fillId="4" borderId="4" xfId="0" applyNumberFormat="1" applyFont="1" applyFill="1" applyBorder="1"/>
    <xf numFmtId="168" fontId="4" fillId="3" borderId="2" xfId="3" applyNumberFormat="1" applyFont="1" applyFill="1" applyBorder="1"/>
    <xf numFmtId="168" fontId="4" fillId="3" borderId="3" xfId="3" applyNumberFormat="1" applyFont="1" applyFill="1" applyBorder="1"/>
    <xf numFmtId="168" fontId="3" fillId="3" borderId="4" xfId="0" applyNumberFormat="1" applyFont="1" applyFill="1" applyBorder="1"/>
    <xf numFmtId="0" fontId="3" fillId="6" borderId="3" xfId="0" applyFont="1" applyFill="1" applyBorder="1" applyAlignment="1">
      <alignment horizontal="center"/>
    </xf>
    <xf numFmtId="168" fontId="4" fillId="7" borderId="2" xfId="3" applyNumberFormat="1" applyFont="1" applyFill="1" applyBorder="1"/>
    <xf numFmtId="168" fontId="4" fillId="7" borderId="3" xfId="3" applyNumberFormat="1" applyFont="1" applyFill="1" applyBorder="1"/>
    <xf numFmtId="168" fontId="3" fillId="7" borderId="4" xfId="0" applyNumberFormat="1" applyFont="1" applyFill="1" applyBorder="1"/>
    <xf numFmtId="168" fontId="2" fillId="5" borderId="0" xfId="3" applyNumberFormat="1" applyFont="1" applyFill="1" applyBorder="1"/>
    <xf numFmtId="0" fontId="3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6" borderId="7" xfId="0" applyFill="1" applyBorder="1"/>
    <xf numFmtId="0" fontId="3" fillId="6" borderId="3" xfId="0" applyFont="1" applyFill="1" applyBorder="1" applyAlignment="1">
      <alignment horizontal="left"/>
    </xf>
    <xf numFmtId="0" fontId="2" fillId="6" borderId="2" xfId="0" applyFont="1" applyFill="1" applyBorder="1"/>
    <xf numFmtId="168" fontId="2" fillId="6" borderId="2" xfId="0" applyNumberFormat="1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14" fontId="0" fillId="0" borderId="0" xfId="0" applyNumberFormat="1"/>
    <xf numFmtId="169" fontId="0" fillId="0" borderId="0" xfId="2" applyNumberFormat="1" applyFont="1" applyFill="1" applyBorder="1"/>
    <xf numFmtId="0" fontId="2" fillId="8" borderId="0" xfId="0" applyFont="1" applyFill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67" fontId="0" fillId="0" borderId="0" xfId="0" applyNumberFormat="1"/>
    <xf numFmtId="0" fontId="2" fillId="0" borderId="0" xfId="0" applyFont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/>
    <xf numFmtId="0" fontId="3" fillId="0" borderId="10" xfId="0" applyFont="1" applyBorder="1" applyAlignment="1">
      <alignment horizontal="right"/>
    </xf>
    <xf numFmtId="0" fontId="8" fillId="2" borderId="11" xfId="1" applyBorder="1"/>
    <xf numFmtId="9" fontId="0" fillId="0" borderId="0" xfId="0" applyNumberFormat="1"/>
    <xf numFmtId="0" fontId="3" fillId="0" borderId="0" xfId="0" applyFont="1" applyAlignment="1">
      <alignment horizontal="center"/>
    </xf>
    <xf numFmtId="168" fontId="4" fillId="0" borderId="0" xfId="3" applyNumberFormat="1" applyFont="1" applyFill="1" applyBorder="1"/>
    <xf numFmtId="168" fontId="3" fillId="0" borderId="0" xfId="0" applyNumberFormat="1" applyFont="1"/>
    <xf numFmtId="168" fontId="3" fillId="0" borderId="0" xfId="0" applyNumberFormat="1" applyFont="1" applyAlignment="1">
      <alignment vertical="center"/>
    </xf>
    <xf numFmtId="0" fontId="9" fillId="0" borderId="1" xfId="0" applyFont="1" applyBorder="1"/>
    <xf numFmtId="168" fontId="9" fillId="0" borderId="1" xfId="0" applyNumberFormat="1" applyFont="1" applyBorder="1"/>
    <xf numFmtId="0" fontId="10" fillId="0" borderId="8" xfId="0" applyFont="1" applyBorder="1"/>
    <xf numFmtId="168" fontId="9" fillId="0" borderId="9" xfId="0" applyNumberFormat="1" applyFont="1" applyBorder="1"/>
    <xf numFmtId="0" fontId="0" fillId="0" borderId="11" xfId="0" applyBorder="1"/>
    <xf numFmtId="0" fontId="11" fillId="0" borderId="1" xfId="0" applyFont="1" applyBorder="1"/>
    <xf numFmtId="168" fontId="11" fillId="0" borderId="1" xfId="0" applyNumberFormat="1" applyFont="1" applyBorder="1"/>
    <xf numFmtId="0" fontId="3" fillId="0" borderId="0" xfId="0" applyFont="1"/>
    <xf numFmtId="0" fontId="5" fillId="8" borderId="0" xfId="0" applyFont="1" applyFill="1"/>
    <xf numFmtId="0" fontId="6" fillId="0" borderId="10" xfId="0" applyFont="1" applyBorder="1"/>
    <xf numFmtId="169" fontId="4" fillId="0" borderId="0" xfId="2" applyNumberFormat="1" applyFont="1" applyFill="1" applyBorder="1"/>
    <xf numFmtId="168" fontId="2" fillId="9" borderId="0" xfId="3" applyNumberFormat="1" applyFont="1" applyFill="1" applyBorder="1"/>
    <xf numFmtId="9" fontId="4" fillId="9" borderId="0" xfId="4" applyFont="1" applyFill="1" applyBorder="1"/>
    <xf numFmtId="0" fontId="7" fillId="3" borderId="0" xfId="0" applyFont="1" applyFill="1"/>
    <xf numFmtId="0" fontId="7" fillId="10" borderId="0" xfId="0" applyFont="1" applyFill="1"/>
    <xf numFmtId="168" fontId="4" fillId="0" borderId="0" xfId="4" applyNumberFormat="1" applyFont="1" applyFill="1" applyBorder="1"/>
    <xf numFmtId="9" fontId="0" fillId="0" borderId="0" xfId="4" applyFont="1"/>
    <xf numFmtId="165" fontId="4" fillId="0" borderId="0" xfId="2" applyFont="1" applyFill="1" applyBorder="1"/>
    <xf numFmtId="170" fontId="4" fillId="0" borderId="0" xfId="2" applyNumberFormat="1" applyFont="1" applyFill="1" applyBorder="1"/>
    <xf numFmtId="170" fontId="4" fillId="9" borderId="0" xfId="2" applyNumberFormat="1" applyFont="1" applyFill="1" applyBorder="1"/>
    <xf numFmtId="0" fontId="0" fillId="0" borderId="3" xfId="0" applyBorder="1"/>
    <xf numFmtId="0" fontId="13" fillId="0" borderId="0" xfId="0" applyFont="1"/>
    <xf numFmtId="168" fontId="13" fillId="0" borderId="0" xfId="0" applyNumberFormat="1" applyFont="1"/>
    <xf numFmtId="0" fontId="13" fillId="0" borderId="0" xfId="0" applyFont="1" applyAlignment="1">
      <alignment horizontal="center"/>
    </xf>
    <xf numFmtId="10" fontId="13" fillId="0" borderId="0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0" fontId="13" fillId="0" borderId="0" xfId="0" applyNumberFormat="1" applyFont="1"/>
    <xf numFmtId="168" fontId="14" fillId="0" borderId="0" xfId="0" applyNumberFormat="1" applyFont="1"/>
    <xf numFmtId="0" fontId="3" fillId="17" borderId="0" xfId="0" applyFont="1" applyFill="1"/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21" fillId="0" borderId="0" xfId="0" applyFont="1"/>
    <xf numFmtId="0" fontId="23" fillId="0" borderId="16" xfId="0" applyFont="1" applyBorder="1" applyAlignment="1">
      <alignment horizontal="right"/>
    </xf>
    <xf numFmtId="171" fontId="24" fillId="18" borderId="17" xfId="1" applyNumberFormat="1" applyFont="1" applyFill="1" applyBorder="1" applyAlignment="1">
      <alignment horizontal="right"/>
    </xf>
    <xf numFmtId="171" fontId="21" fillId="18" borderId="0" xfId="0" applyNumberFormat="1" applyFont="1" applyFill="1" applyAlignment="1">
      <alignment horizontal="right"/>
    </xf>
    <xf numFmtId="171" fontId="21" fillId="18" borderId="19" xfId="0" applyNumberFormat="1" applyFont="1" applyFill="1" applyBorder="1" applyAlignment="1">
      <alignment horizontal="right"/>
    </xf>
    <xf numFmtId="171" fontId="21" fillId="18" borderId="22" xfId="0" applyNumberFormat="1" applyFont="1" applyFill="1" applyBorder="1" applyAlignment="1">
      <alignment horizontal="right"/>
    </xf>
    <xf numFmtId="0" fontId="23" fillId="4" borderId="21" xfId="0" applyFont="1" applyFill="1" applyBorder="1"/>
    <xf numFmtId="171" fontId="23" fillId="4" borderId="21" xfId="0" applyNumberFormat="1" applyFont="1" applyFill="1" applyBorder="1" applyAlignment="1">
      <alignment horizontal="right"/>
    </xf>
    <xf numFmtId="171" fontId="21" fillId="18" borderId="23" xfId="0" applyNumberFormat="1" applyFont="1" applyFill="1" applyBorder="1" applyAlignment="1">
      <alignment horizontal="right"/>
    </xf>
    <xf numFmtId="0" fontId="23" fillId="16" borderId="21" xfId="0" applyFont="1" applyFill="1" applyBorder="1"/>
    <xf numFmtId="168" fontId="23" fillId="16" borderId="21" xfId="4" applyNumberFormat="1" applyFont="1" applyFill="1" applyBorder="1"/>
    <xf numFmtId="171" fontId="21" fillId="0" borderId="0" xfId="0" applyNumberFormat="1" applyFont="1" applyAlignment="1">
      <alignment horizontal="right"/>
    </xf>
    <xf numFmtId="0" fontId="23" fillId="17" borderId="19" xfId="0" applyFont="1" applyFill="1" applyBorder="1"/>
    <xf numFmtId="171" fontId="23" fillId="17" borderId="19" xfId="0" applyNumberFormat="1" applyFont="1" applyFill="1" applyBorder="1" applyAlignment="1">
      <alignment horizontal="right"/>
    </xf>
    <xf numFmtId="0" fontId="22" fillId="14" borderId="15" xfId="0" applyFont="1" applyFill="1" applyBorder="1" applyAlignment="1">
      <alignment horizontal="center" vertical="center"/>
    </xf>
    <xf numFmtId="168" fontId="22" fillId="14" borderId="14" xfId="3" applyNumberFormat="1" applyFont="1" applyFill="1" applyBorder="1" applyAlignment="1">
      <alignment vertical="center"/>
    </xf>
    <xf numFmtId="0" fontId="25" fillId="15" borderId="19" xfId="0" applyFont="1" applyFill="1" applyBorder="1"/>
    <xf numFmtId="0" fontId="25" fillId="15" borderId="22" xfId="0" applyFont="1" applyFill="1" applyBorder="1"/>
    <xf numFmtId="0" fontId="25" fillId="15" borderId="23" xfId="0" applyFont="1" applyFill="1" applyBorder="1"/>
    <xf numFmtId="0" fontId="12" fillId="13" borderId="0" xfId="0" applyFont="1" applyFill="1" applyAlignment="1">
      <alignment horizontal="left"/>
    </xf>
    <xf numFmtId="0" fontId="12" fillId="13" borderId="22" xfId="0" applyFont="1" applyFill="1" applyBorder="1" applyAlignment="1">
      <alignment horizontal="center"/>
    </xf>
    <xf numFmtId="0" fontId="12" fillId="13" borderId="0" xfId="0" applyFont="1" applyFill="1" applyAlignment="1">
      <alignment horizontal="center"/>
    </xf>
    <xf numFmtId="0" fontId="0" fillId="0" borderId="3" xfId="0" applyBorder="1" applyAlignment="1">
      <alignment wrapText="1"/>
    </xf>
    <xf numFmtId="171" fontId="0" fillId="0" borderId="3" xfId="0" applyNumberFormat="1" applyBorder="1"/>
    <xf numFmtId="0" fontId="3" fillId="17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7" fontId="0" fillId="0" borderId="3" xfId="0" applyNumberFormat="1" applyBorder="1"/>
    <xf numFmtId="0" fontId="15" fillId="11" borderId="0" xfId="0" applyFont="1" applyFill="1" applyAlignment="1">
      <alignment horizontal="center"/>
    </xf>
    <xf numFmtId="0" fontId="18" fillId="18" borderId="0" xfId="0" applyFont="1" applyFill="1" applyAlignment="1">
      <alignment horizontal="left" vertical="center" wrapText="1"/>
    </xf>
    <xf numFmtId="0" fontId="20" fillId="12" borderId="19" xfId="0" applyFont="1" applyFill="1" applyBorder="1"/>
    <xf numFmtId="171" fontId="20" fillId="18" borderId="19" xfId="0" applyNumberFormat="1" applyFont="1" applyFill="1" applyBorder="1" applyAlignment="1">
      <alignment horizontal="right"/>
    </xf>
    <xf numFmtId="168" fontId="3" fillId="0" borderId="0" xfId="0" applyNumberFormat="1" applyFont="1" applyAlignment="1">
      <alignment vertical="center"/>
    </xf>
    <xf numFmtId="168" fontId="3" fillId="5" borderId="12" xfId="0" applyNumberFormat="1" applyFont="1" applyFill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top" wrapText="1"/>
    </xf>
    <xf numFmtId="0" fontId="12" fillId="13" borderId="18" xfId="0" applyFont="1" applyFill="1" applyBorder="1" applyAlignment="1">
      <alignment horizontal="left"/>
    </xf>
    <xf numFmtId="0" fontId="12" fillId="13" borderId="20" xfId="0" applyFont="1" applyFill="1" applyBorder="1" applyAlignment="1">
      <alignment horizontal="left"/>
    </xf>
    <xf numFmtId="0" fontId="12" fillId="13" borderId="18" xfId="0" applyFont="1" applyFill="1" applyBorder="1" applyAlignment="1">
      <alignment horizontal="center"/>
    </xf>
    <xf numFmtId="0" fontId="12" fillId="13" borderId="20" xfId="0" applyFont="1" applyFill="1" applyBorder="1" applyAlignment="1">
      <alignment horizontal="center"/>
    </xf>
    <xf numFmtId="0" fontId="17" fillId="11" borderId="0" xfId="0" applyFont="1" applyFill="1" applyAlignment="1">
      <alignment horizontal="center"/>
    </xf>
    <xf numFmtId="0" fontId="6" fillId="12" borderId="0" xfId="0" applyFont="1" applyFill="1"/>
    <xf numFmtId="0" fontId="16" fillId="18" borderId="0" xfId="0" applyFont="1" applyFill="1" applyAlignment="1">
      <alignment horizontal="left" wrapText="1"/>
    </xf>
    <xf numFmtId="0" fontId="12" fillId="13" borderId="0" xfId="0" applyFont="1" applyFill="1" applyAlignment="1">
      <alignment horizontal="left"/>
    </xf>
  </cellXfs>
  <cellStyles count="5">
    <cellStyle name="Càlcul" xfId="1" builtinId="22"/>
    <cellStyle name="Coma" xfId="2" builtinId="3"/>
    <cellStyle name="Moneda" xfId="3" builtinId="4"/>
    <cellStyle name="Normal" xfId="0" builtinId="0"/>
    <cellStyle name="Percentatge" xfId="4" builtinId="5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0</xdr:rowOff>
    </xdr:from>
    <xdr:to>
      <xdr:col>2</xdr:col>
      <xdr:colOff>304342</xdr:colOff>
      <xdr:row>3</xdr:row>
      <xdr:rowOff>161844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FC254F-E8AE-B262-7E0C-B74410E12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" y="0"/>
          <a:ext cx="3666667" cy="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7DC9-B1FB-445B-AD76-90FA987C6D9A}">
  <sheetPr>
    <pageSetUpPr fitToPage="1"/>
  </sheetPr>
  <dimension ref="A4:R49"/>
  <sheetViews>
    <sheetView workbookViewId="0">
      <selection sqref="A1:IV65536"/>
    </sheetView>
  </sheetViews>
  <sheetFormatPr defaultColWidth="9.140625" defaultRowHeight="12.75" x14ac:dyDescent="0.2"/>
  <cols>
    <col min="1" max="1" width="25.28515625" customWidth="1"/>
    <col min="2" max="2" width="23.7109375" customWidth="1"/>
    <col min="3" max="3" width="19.28515625" bestFit="1" customWidth="1"/>
    <col min="4" max="4" width="8" customWidth="1"/>
    <col min="5" max="5" width="12.42578125" bestFit="1" customWidth="1"/>
    <col min="6" max="6" width="15.28515625" bestFit="1" customWidth="1"/>
    <col min="7" max="7" width="19.42578125" customWidth="1"/>
    <col min="8" max="8" width="15.28515625" bestFit="1" customWidth="1"/>
    <col min="9" max="10" width="15.7109375" bestFit="1" customWidth="1"/>
    <col min="11" max="13" width="11.42578125" customWidth="1"/>
    <col min="14" max="14" width="12" bestFit="1" customWidth="1"/>
  </cols>
  <sheetData>
    <row r="4" spans="2:18" x14ac:dyDescent="0.2">
      <c r="B4" s="73" t="s">
        <v>34</v>
      </c>
    </row>
    <row r="5" spans="2:18" x14ac:dyDescent="0.2">
      <c r="B5" s="1" t="s">
        <v>0</v>
      </c>
    </row>
    <row r="7" spans="2:18" ht="13.5" thickBot="1" x14ac:dyDescent="0.25">
      <c r="F7" s="1" t="s">
        <v>29</v>
      </c>
    </row>
    <row r="8" spans="2:18" x14ac:dyDescent="0.2">
      <c r="B8" s="57" t="s">
        <v>6</v>
      </c>
      <c r="C8" s="58">
        <v>57.09</v>
      </c>
    </row>
    <row r="9" spans="2:18" ht="15.75" thickBot="1" x14ac:dyDescent="0.3">
      <c r="B9" s="59" t="s">
        <v>25</v>
      </c>
      <c r="C9" s="60">
        <f>ROUND(ROUND(C8/(1+G12+G17),2)/(1+2/12),2)</f>
        <v>43.84</v>
      </c>
      <c r="F9" s="19" t="s">
        <v>3</v>
      </c>
      <c r="G9" s="14"/>
      <c r="M9" s="3"/>
      <c r="N9" s="1"/>
      <c r="O9" s="1"/>
      <c r="P9" s="1"/>
      <c r="Q9" s="1"/>
    </row>
    <row r="10" spans="2:18" x14ac:dyDescent="0.2">
      <c r="B10" s="56"/>
      <c r="F10" s="14">
        <v>360</v>
      </c>
      <c r="G10" s="14">
        <v>30</v>
      </c>
      <c r="M10" s="3"/>
      <c r="N10" s="3"/>
      <c r="O10" s="3"/>
      <c r="P10" s="3"/>
      <c r="Q10" s="3"/>
      <c r="R10" s="3"/>
    </row>
    <row r="11" spans="2:18" ht="13.5" thickBot="1" x14ac:dyDescent="0.25">
      <c r="B11" s="56"/>
      <c r="C11">
        <v>2024</v>
      </c>
      <c r="F11" s="14">
        <v>30</v>
      </c>
      <c r="G11" s="14">
        <f>F11*G10/F10</f>
        <v>2.5</v>
      </c>
      <c r="M11" s="4"/>
    </row>
    <row r="12" spans="2:18" x14ac:dyDescent="0.2">
      <c r="B12" s="68" t="s">
        <v>27</v>
      </c>
      <c r="C12" s="69">
        <v>51.15</v>
      </c>
      <c r="F12" s="14">
        <v>1</v>
      </c>
      <c r="G12" s="25">
        <f>F12*G11/F11</f>
        <v>8.3333333333333329E-2</v>
      </c>
    </row>
    <row r="13" spans="2:18" ht="13.5" thickBot="1" x14ac:dyDescent="0.25">
      <c r="B13" s="75" t="s">
        <v>30</v>
      </c>
      <c r="C13" s="70"/>
    </row>
    <row r="14" spans="2:18" x14ac:dyDescent="0.2">
      <c r="F14" s="20" t="s">
        <v>28</v>
      </c>
      <c r="G14" s="15"/>
    </row>
    <row r="15" spans="2:18" x14ac:dyDescent="0.2">
      <c r="F15" s="15">
        <v>365</v>
      </c>
      <c r="G15" s="15">
        <v>12</v>
      </c>
    </row>
    <row r="16" spans="2:18" x14ac:dyDescent="0.2">
      <c r="B16" s="52" t="s">
        <v>31</v>
      </c>
      <c r="C16" s="4">
        <f>C9</f>
        <v>43.84</v>
      </c>
      <c r="F16" s="15">
        <v>30</v>
      </c>
      <c r="G16" s="21">
        <f>F16*G15/F15</f>
        <v>0.98630136986301364</v>
      </c>
    </row>
    <row r="17" spans="1:11" x14ac:dyDescent="0.2">
      <c r="B17" s="52" t="s">
        <v>32</v>
      </c>
      <c r="C17" s="4">
        <f>C16*2/12</f>
        <v>7.3066666666666675</v>
      </c>
      <c r="F17" s="15">
        <v>1</v>
      </c>
      <c r="G17" s="26">
        <f>F17*G16/F16</f>
        <v>3.287671232876712E-2</v>
      </c>
      <c r="J17" s="1"/>
    </row>
    <row r="18" spans="1:11" x14ac:dyDescent="0.2">
      <c r="B18" s="66" t="s">
        <v>6</v>
      </c>
      <c r="C18" s="67">
        <f>SUM(C16:C17)</f>
        <v>51.146666666666668</v>
      </c>
      <c r="J18" s="1"/>
      <c r="K18" s="1" t="s">
        <v>0</v>
      </c>
    </row>
    <row r="19" spans="1:11" x14ac:dyDescent="0.2">
      <c r="A19" s="6"/>
      <c r="B19" s="74" t="s">
        <v>33</v>
      </c>
      <c r="C19" s="4">
        <f>C18*G12</f>
        <v>4.2622222222222224</v>
      </c>
      <c r="J19" s="1"/>
    </row>
    <row r="20" spans="1:11" x14ac:dyDescent="0.2">
      <c r="A20" s="11"/>
      <c r="B20" s="74" t="s">
        <v>35</v>
      </c>
      <c r="C20" s="4">
        <f>C18*G17</f>
        <v>1.6815342465753425</v>
      </c>
    </row>
    <row r="21" spans="1:11" x14ac:dyDescent="0.2">
      <c r="A21" s="4"/>
      <c r="B21" s="71" t="s">
        <v>6</v>
      </c>
      <c r="C21" s="72">
        <f>C18+C19+C20</f>
        <v>57.090423135464235</v>
      </c>
      <c r="D21" s="62"/>
      <c r="E21" s="62"/>
      <c r="F21" s="62"/>
      <c r="G21" s="62"/>
      <c r="H21" s="62"/>
      <c r="I21" s="62"/>
      <c r="J21" s="62"/>
    </row>
    <row r="22" spans="1:11" x14ac:dyDescent="0.2">
      <c r="A22" s="4"/>
      <c r="D22" s="6"/>
      <c r="E22" s="9"/>
      <c r="F22" s="63"/>
      <c r="G22" s="63"/>
      <c r="H22" s="63"/>
      <c r="I22" s="63"/>
      <c r="J22" s="63"/>
    </row>
    <row r="23" spans="1:11" x14ac:dyDescent="0.2">
      <c r="A23" s="64"/>
      <c r="D23" s="6"/>
      <c r="E23" s="9"/>
      <c r="F23" s="63"/>
      <c r="G23" s="63"/>
      <c r="H23" s="63"/>
      <c r="I23" s="63"/>
      <c r="J23" s="76"/>
      <c r="K23" s="1"/>
    </row>
    <row r="24" spans="1:11" x14ac:dyDescent="0.2">
      <c r="A24" s="4"/>
      <c r="B24" s="4"/>
      <c r="C24" s="11"/>
      <c r="D24" s="6"/>
      <c r="E24" s="4"/>
      <c r="F24" s="63"/>
      <c r="G24" s="63"/>
      <c r="H24" s="63"/>
      <c r="I24" s="63"/>
      <c r="J24" s="76"/>
      <c r="K24" s="1"/>
    </row>
    <row r="25" spans="1:11" x14ac:dyDescent="0.2">
      <c r="A25" s="4"/>
      <c r="B25" s="4"/>
      <c r="C25" s="1"/>
      <c r="D25" s="6"/>
      <c r="E25" s="63"/>
      <c r="F25" s="63"/>
      <c r="G25" s="63"/>
      <c r="H25" s="63"/>
      <c r="I25" s="63"/>
      <c r="J25" s="76"/>
      <c r="K25" s="1"/>
    </row>
    <row r="26" spans="1:11" x14ac:dyDescent="0.2">
      <c r="A26" s="4"/>
      <c r="B26" s="4"/>
      <c r="C26" s="1"/>
      <c r="E26" s="129"/>
      <c r="F26" s="129"/>
      <c r="G26" s="65"/>
      <c r="H26" s="64"/>
      <c r="I26" s="64"/>
      <c r="J26" s="76"/>
      <c r="K26" s="1"/>
    </row>
    <row r="27" spans="1:11" x14ac:dyDescent="0.2">
      <c r="E27" s="4"/>
      <c r="J27" s="76"/>
      <c r="K27" s="1"/>
    </row>
    <row r="28" spans="1:11" x14ac:dyDescent="0.2">
      <c r="F28" s="4"/>
      <c r="G28" s="4"/>
      <c r="J28" s="76"/>
      <c r="K28" s="1"/>
    </row>
    <row r="29" spans="1:11" x14ac:dyDescent="0.2">
      <c r="J29" s="76"/>
      <c r="K29" s="1"/>
    </row>
    <row r="30" spans="1:11" x14ac:dyDescent="0.2">
      <c r="D30" s="1"/>
      <c r="E30" s="1"/>
      <c r="F30" s="1"/>
      <c r="G30" s="1"/>
      <c r="H30" s="11"/>
      <c r="I30" s="1"/>
      <c r="J30" s="76"/>
      <c r="K30" s="1"/>
    </row>
    <row r="31" spans="1:11" x14ac:dyDescent="0.2">
      <c r="C31" s="1"/>
      <c r="D31" s="6"/>
      <c r="E31" s="9"/>
      <c r="F31" s="10"/>
      <c r="G31" s="10"/>
      <c r="H31" s="10"/>
      <c r="I31" s="10"/>
      <c r="J31" s="76"/>
      <c r="K31" s="1"/>
    </row>
    <row r="32" spans="1:11" x14ac:dyDescent="0.2">
      <c r="C32" s="1"/>
      <c r="D32" s="6"/>
      <c r="E32" s="9"/>
      <c r="F32" s="10"/>
      <c r="G32" s="10"/>
      <c r="H32" s="10"/>
      <c r="I32" s="10"/>
      <c r="J32" s="76"/>
      <c r="K32" s="1"/>
    </row>
    <row r="33" spans="1:11" x14ac:dyDescent="0.2">
      <c r="C33" s="11"/>
      <c r="D33" s="6"/>
      <c r="E33" s="4"/>
      <c r="F33" s="10"/>
      <c r="G33" s="10"/>
      <c r="H33" s="10"/>
      <c r="I33" s="10"/>
      <c r="J33" s="76"/>
      <c r="K33" s="1"/>
    </row>
    <row r="34" spans="1:11" x14ac:dyDescent="0.2">
      <c r="A34" s="1"/>
      <c r="C34" s="1"/>
      <c r="D34" s="6"/>
      <c r="E34" s="10"/>
      <c r="F34" s="10"/>
      <c r="G34" s="10"/>
      <c r="H34" s="10"/>
      <c r="I34" s="10"/>
      <c r="J34" s="76"/>
      <c r="K34" s="1"/>
    </row>
    <row r="35" spans="1:11" x14ac:dyDescent="0.2">
      <c r="J35" s="76"/>
      <c r="K35" s="1"/>
    </row>
    <row r="36" spans="1:11" x14ac:dyDescent="0.2">
      <c r="A36" s="1"/>
      <c r="I36" s="55"/>
      <c r="J36" s="76"/>
      <c r="K36" s="1"/>
    </row>
    <row r="37" spans="1:11" x14ac:dyDescent="0.2">
      <c r="A37" s="1"/>
      <c r="B37" s="4"/>
      <c r="J37" s="76"/>
    </row>
    <row r="38" spans="1:11" x14ac:dyDescent="0.2">
      <c r="A38" s="1"/>
      <c r="B38" s="4"/>
    </row>
    <row r="39" spans="1:11" x14ac:dyDescent="0.2">
      <c r="F39" s="4"/>
      <c r="G39" s="4"/>
    </row>
    <row r="41" spans="1:11" x14ac:dyDescent="0.2">
      <c r="A41" s="1"/>
      <c r="B41" s="64"/>
    </row>
    <row r="44" spans="1:11" x14ac:dyDescent="0.2">
      <c r="A44" s="19" t="s">
        <v>3</v>
      </c>
      <c r="B44" s="14"/>
      <c r="C44" s="14"/>
    </row>
    <row r="45" spans="1:11" x14ac:dyDescent="0.2">
      <c r="A45" s="1" t="s">
        <v>13</v>
      </c>
      <c r="B45" s="4">
        <f>B37</f>
        <v>0</v>
      </c>
      <c r="C45">
        <v>360</v>
      </c>
    </row>
    <row r="46" spans="1:11" x14ac:dyDescent="0.2">
      <c r="A46" s="1" t="s">
        <v>16</v>
      </c>
      <c r="B46" s="23">
        <f>B45*C46/C45</f>
        <v>0</v>
      </c>
      <c r="C46">
        <v>58</v>
      </c>
    </row>
    <row r="49" spans="1:2" x14ac:dyDescent="0.2">
      <c r="A49" s="1"/>
      <c r="B49" s="2"/>
    </row>
  </sheetData>
  <mergeCells count="1">
    <mergeCell ref="E26:F2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D840-A967-43CA-B395-3AC602EE5FBB}">
  <sheetPr>
    <pageSetUpPr fitToPage="1"/>
  </sheetPr>
  <dimension ref="B2:P25"/>
  <sheetViews>
    <sheetView workbookViewId="0">
      <selection activeCell="C28" sqref="C28"/>
    </sheetView>
  </sheetViews>
  <sheetFormatPr defaultColWidth="9.140625" defaultRowHeight="12.75" x14ac:dyDescent="0.2"/>
  <cols>
    <col min="1" max="1" width="10.7109375" customWidth="1"/>
    <col min="2" max="2" width="23.7109375" customWidth="1"/>
    <col min="3" max="3" width="19.28515625" bestFit="1" customWidth="1"/>
    <col min="4" max="4" width="9.140625" customWidth="1"/>
    <col min="5" max="5" width="9.42578125" customWidth="1"/>
    <col min="6" max="6" width="15.28515625" bestFit="1" customWidth="1"/>
    <col min="7" max="7" width="19.42578125" customWidth="1"/>
    <col min="8" max="8" width="15.28515625" bestFit="1" customWidth="1"/>
    <col min="9" max="9" width="15.7109375" bestFit="1" customWidth="1"/>
    <col min="10" max="10" width="22.7109375" customWidth="1"/>
    <col min="11" max="11" width="14.7109375" customWidth="1"/>
    <col min="13" max="13" width="9.85546875" customWidth="1"/>
    <col min="14" max="14" width="24.7109375" customWidth="1"/>
  </cols>
  <sheetData>
    <row r="2" spans="2:15" x14ac:dyDescent="0.2">
      <c r="D2" s="6" t="s">
        <v>38</v>
      </c>
      <c r="L2" s="6" t="s">
        <v>38</v>
      </c>
    </row>
    <row r="3" spans="2:15" x14ac:dyDescent="0.2">
      <c r="C3">
        <f>1909.6+1909.6*D3</f>
        <v>1909.6</v>
      </c>
      <c r="D3" s="82">
        <v>0</v>
      </c>
      <c r="K3">
        <f>1909.6+1909.6*L3</f>
        <v>1909.6</v>
      </c>
      <c r="L3" s="82">
        <v>0</v>
      </c>
    </row>
    <row r="5" spans="2:15" ht="13.5" thickBot="1" x14ac:dyDescent="0.25">
      <c r="F5" s="1" t="s">
        <v>29</v>
      </c>
      <c r="N5" s="1" t="s">
        <v>29</v>
      </c>
    </row>
    <row r="6" spans="2:15" x14ac:dyDescent="0.2">
      <c r="B6" s="57" t="s">
        <v>6</v>
      </c>
      <c r="C6" s="58">
        <v>1905.91</v>
      </c>
      <c r="J6" s="57" t="s">
        <v>6</v>
      </c>
      <c r="K6" s="58">
        <f>+K3</f>
        <v>1909.6</v>
      </c>
    </row>
    <row r="7" spans="2:15" ht="15.75" thickBot="1" x14ac:dyDescent="0.3">
      <c r="B7" s="59" t="s">
        <v>25</v>
      </c>
      <c r="C7" s="60">
        <f>ROUND(ROUND(C6/(1+G10+G15+G19+G17),2)/(1+2/12),2)</f>
        <v>1463.55</v>
      </c>
      <c r="F7" s="19" t="s">
        <v>3</v>
      </c>
      <c r="G7" s="14"/>
      <c r="J7" s="59" t="s">
        <v>25</v>
      </c>
      <c r="K7" s="60">
        <f>ROUND(ROUND(K6/(1+O10+O15+O19+O17),2)/(1+2/12),2)</f>
        <v>1403.52</v>
      </c>
      <c r="N7" s="19" t="s">
        <v>3</v>
      </c>
      <c r="O7" s="14"/>
    </row>
    <row r="8" spans="2:15" x14ac:dyDescent="0.2">
      <c r="B8" s="56"/>
      <c r="F8" s="14">
        <v>360</v>
      </c>
      <c r="G8" s="14">
        <v>30</v>
      </c>
      <c r="J8" s="56"/>
      <c r="N8" s="14">
        <v>360</v>
      </c>
      <c r="O8" s="14">
        <v>30</v>
      </c>
    </row>
    <row r="9" spans="2:15" ht="13.5" thickBot="1" x14ac:dyDescent="0.25">
      <c r="B9" s="56"/>
      <c r="F9" s="14">
        <v>30</v>
      </c>
      <c r="G9" s="14">
        <f>F9*G8/F8</f>
        <v>2.5</v>
      </c>
      <c r="J9" s="56"/>
      <c r="N9" s="14">
        <v>30</v>
      </c>
      <c r="O9" s="14">
        <f>N9*O8/N8</f>
        <v>2.5</v>
      </c>
    </row>
    <row r="10" spans="2:15" x14ac:dyDescent="0.2">
      <c r="B10" s="68"/>
      <c r="C10" s="69"/>
      <c r="F10" s="14">
        <v>1</v>
      </c>
      <c r="G10" s="25">
        <f>F10*G9/F9</f>
        <v>8.3333333333333329E-2</v>
      </c>
      <c r="J10" s="68"/>
      <c r="K10" s="69"/>
      <c r="N10" s="14">
        <v>1</v>
      </c>
      <c r="O10" s="25">
        <f>N10*O9/N9</f>
        <v>8.3333333333333329E-2</v>
      </c>
    </row>
    <row r="11" spans="2:15" ht="13.5" thickBot="1" x14ac:dyDescent="0.25">
      <c r="B11" s="75" t="s">
        <v>30</v>
      </c>
      <c r="C11" s="70"/>
      <c r="J11" s="75" t="s">
        <v>30</v>
      </c>
      <c r="K11" s="70"/>
    </row>
    <row r="12" spans="2:15" x14ac:dyDescent="0.2">
      <c r="F12" s="20" t="s">
        <v>28</v>
      </c>
      <c r="G12" s="15"/>
      <c r="N12" s="20" t="s">
        <v>28</v>
      </c>
      <c r="O12" s="15"/>
    </row>
    <row r="13" spans="2:15" x14ac:dyDescent="0.2">
      <c r="F13" s="15">
        <v>365</v>
      </c>
      <c r="G13" s="15">
        <v>12</v>
      </c>
      <c r="N13" s="15">
        <v>365</v>
      </c>
      <c r="O13" s="15">
        <v>12</v>
      </c>
    </row>
    <row r="14" spans="2:15" x14ac:dyDescent="0.2">
      <c r="B14" s="52" t="s">
        <v>31</v>
      </c>
      <c r="C14" s="4">
        <f>C7</f>
        <v>1463.55</v>
      </c>
      <c r="F14" s="15">
        <v>30</v>
      </c>
      <c r="G14" s="21">
        <f>F14*G13/F13</f>
        <v>0.98630136986301364</v>
      </c>
      <c r="J14" s="52" t="s">
        <v>31</v>
      </c>
      <c r="K14" s="4">
        <f>K7</f>
        <v>1403.52</v>
      </c>
      <c r="N14" s="15">
        <v>30</v>
      </c>
      <c r="O14" s="21">
        <f>N14*O13/N13</f>
        <v>0.98630136986301364</v>
      </c>
    </row>
    <row r="15" spans="2:15" x14ac:dyDescent="0.2">
      <c r="B15" s="52" t="s">
        <v>32</v>
      </c>
      <c r="C15" s="4">
        <f>C14*2/12</f>
        <v>243.92499999999998</v>
      </c>
      <c r="F15" s="15">
        <v>1</v>
      </c>
      <c r="G15" s="26">
        <f>F15*G14/F14</f>
        <v>3.287671232876712E-2</v>
      </c>
      <c r="J15" s="52" t="s">
        <v>32</v>
      </c>
      <c r="K15" s="4">
        <f>K14*2/12</f>
        <v>233.92</v>
      </c>
      <c r="N15" s="15">
        <v>1</v>
      </c>
      <c r="O15" s="26">
        <f>N15*O14/N14</f>
        <v>3.287671232876712E-2</v>
      </c>
    </row>
    <row r="16" spans="2:15" x14ac:dyDescent="0.2">
      <c r="B16" s="66" t="s">
        <v>6</v>
      </c>
      <c r="C16" s="67">
        <f>SUM(C14:C15)</f>
        <v>1707.4749999999999</v>
      </c>
      <c r="J16" s="66" t="s">
        <v>6</v>
      </c>
      <c r="K16" s="67">
        <f>SUM(K14:K15)</f>
        <v>1637.44</v>
      </c>
    </row>
    <row r="17" spans="2:16" x14ac:dyDescent="0.2">
      <c r="B17" s="79" t="s">
        <v>33</v>
      </c>
      <c r="C17" s="4">
        <f>C16*G10</f>
        <v>142.28958333333333</v>
      </c>
      <c r="J17" s="79" t="s">
        <v>33</v>
      </c>
      <c r="K17" s="4">
        <f>K16*O10</f>
        <v>136.45333333333332</v>
      </c>
      <c r="N17" s="77" t="s">
        <v>36</v>
      </c>
      <c r="O17" s="78">
        <v>0.05</v>
      </c>
    </row>
    <row r="18" spans="2:16" ht="14.25" customHeight="1" x14ac:dyDescent="0.2">
      <c r="B18" s="80" t="s">
        <v>35</v>
      </c>
      <c r="C18" s="4">
        <f>C16*G15</f>
        <v>56.136164383561635</v>
      </c>
      <c r="F18" s="63"/>
      <c r="G18" s="63"/>
      <c r="J18" s="80" t="s">
        <v>35</v>
      </c>
      <c r="K18" s="4">
        <f>K16*O15</f>
        <v>53.833643835616435</v>
      </c>
      <c r="N18" s="63"/>
      <c r="O18" s="63"/>
    </row>
    <row r="19" spans="2:16" x14ac:dyDescent="0.2">
      <c r="B19" s="71" t="s">
        <v>6</v>
      </c>
      <c r="C19" s="72">
        <f>C16+C17+C18</f>
        <v>1905.9007477168948</v>
      </c>
      <c r="D19" s="62"/>
      <c r="E19" s="62"/>
      <c r="F19" s="63"/>
      <c r="G19" s="63"/>
      <c r="H19" s="62"/>
      <c r="J19" s="77" t="s">
        <v>37</v>
      </c>
      <c r="K19" s="81">
        <f>+K16*O17</f>
        <v>81.872000000000014</v>
      </c>
      <c r="L19" s="62"/>
      <c r="M19" s="62"/>
      <c r="N19" s="63"/>
      <c r="O19" s="63"/>
      <c r="P19" s="62"/>
    </row>
    <row r="20" spans="2:16" x14ac:dyDescent="0.2">
      <c r="D20" s="6"/>
      <c r="E20" s="9"/>
      <c r="F20" s="63"/>
      <c r="G20" s="63"/>
      <c r="H20" s="63"/>
      <c r="J20" s="71" t="s">
        <v>6</v>
      </c>
      <c r="K20" s="72">
        <f>K16+K17+K18+K19</f>
        <v>1909.5989771689499</v>
      </c>
      <c r="L20" s="6"/>
      <c r="M20" s="9"/>
      <c r="N20" s="63"/>
      <c r="O20" s="63"/>
      <c r="P20" s="63"/>
    </row>
    <row r="21" spans="2:16" x14ac:dyDescent="0.2">
      <c r="D21" s="6"/>
      <c r="E21" s="9"/>
      <c r="F21" s="63"/>
      <c r="G21" s="63"/>
      <c r="H21" s="63"/>
      <c r="L21" s="6"/>
      <c r="M21" s="9"/>
      <c r="N21" s="63"/>
      <c r="O21" s="63"/>
      <c r="P21" s="63"/>
    </row>
    <row r="22" spans="2:16" x14ac:dyDescent="0.2">
      <c r="B22" s="4"/>
      <c r="C22" s="11"/>
      <c r="D22" s="6"/>
      <c r="E22" s="4"/>
      <c r="F22" s="63"/>
      <c r="G22" s="63"/>
      <c r="H22" s="63"/>
      <c r="J22" s="4"/>
      <c r="K22" s="11"/>
      <c r="L22" s="6"/>
      <c r="M22" s="4"/>
      <c r="N22" s="63"/>
      <c r="O22" s="63"/>
      <c r="P22" s="63"/>
    </row>
    <row r="23" spans="2:16" x14ac:dyDescent="0.2">
      <c r="B23" s="4"/>
      <c r="C23" s="1"/>
      <c r="D23" s="6"/>
      <c r="E23" s="63"/>
      <c r="F23" s="63"/>
      <c r="G23" s="63"/>
      <c r="H23" s="63"/>
      <c r="J23" s="4"/>
      <c r="K23" s="1"/>
      <c r="L23" s="6"/>
      <c r="M23" s="63"/>
      <c r="N23" s="63"/>
      <c r="O23" s="63"/>
      <c r="P23" s="63"/>
    </row>
    <row r="24" spans="2:16" x14ac:dyDescent="0.2">
      <c r="B24" s="4"/>
      <c r="C24" s="1"/>
      <c r="E24" s="63"/>
      <c r="F24" s="63"/>
      <c r="G24" s="63"/>
      <c r="H24" s="64"/>
      <c r="J24" s="4"/>
      <c r="K24" s="1"/>
      <c r="M24" s="63"/>
      <c r="N24" s="63"/>
      <c r="O24" s="63"/>
      <c r="P24" s="64"/>
    </row>
    <row r="25" spans="2:16" x14ac:dyDescent="0.2">
      <c r="F25" s="63"/>
      <c r="G25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3754B-60E2-4A6D-8659-D77955A516CB}">
  <sheetPr>
    <pageSetUpPr fitToPage="1"/>
  </sheetPr>
  <dimension ref="B2:P25"/>
  <sheetViews>
    <sheetView workbookViewId="0">
      <selection activeCell="J26" sqref="J26"/>
    </sheetView>
  </sheetViews>
  <sheetFormatPr defaultColWidth="9.140625" defaultRowHeight="12.75" x14ac:dyDescent="0.2"/>
  <cols>
    <col min="1" max="1" width="10.7109375" customWidth="1"/>
    <col min="2" max="2" width="23.7109375" customWidth="1"/>
    <col min="3" max="3" width="19.28515625" bestFit="1" customWidth="1"/>
    <col min="4" max="4" width="9.140625" customWidth="1"/>
    <col min="5" max="5" width="9.42578125" customWidth="1"/>
    <col min="6" max="6" width="15.28515625" bestFit="1" customWidth="1"/>
    <col min="7" max="7" width="19.42578125" customWidth="1"/>
    <col min="8" max="8" width="15.28515625" bestFit="1" customWidth="1"/>
    <col min="9" max="9" width="15.7109375" bestFit="1" customWidth="1"/>
    <col min="10" max="10" width="22.7109375" customWidth="1"/>
    <col min="11" max="11" width="14.7109375" customWidth="1"/>
    <col min="13" max="13" width="9.85546875" customWidth="1"/>
    <col min="14" max="14" width="24.7109375" customWidth="1"/>
    <col min="15" max="15" width="9.85546875" bestFit="1" customWidth="1"/>
  </cols>
  <sheetData>
    <row r="2" spans="2:15" x14ac:dyDescent="0.2">
      <c r="D2" s="6" t="s">
        <v>38</v>
      </c>
      <c r="L2" s="6" t="s">
        <v>38</v>
      </c>
    </row>
    <row r="3" spans="2:15" x14ac:dyDescent="0.2">
      <c r="C3">
        <f>1909.6+1909.6*D3</f>
        <v>1909.6</v>
      </c>
      <c r="D3" s="82">
        <v>0</v>
      </c>
      <c r="K3">
        <f>1909.6+1909.6*L3</f>
        <v>1909.6</v>
      </c>
      <c r="L3" s="82">
        <v>0</v>
      </c>
    </row>
    <row r="5" spans="2:15" ht="13.5" thickBot="1" x14ac:dyDescent="0.25">
      <c r="F5" s="1" t="s">
        <v>29</v>
      </c>
      <c r="N5" s="1" t="s">
        <v>29</v>
      </c>
    </row>
    <row r="6" spans="2:15" x14ac:dyDescent="0.2">
      <c r="B6" s="57" t="s">
        <v>6</v>
      </c>
      <c r="C6" s="58">
        <v>1905.91</v>
      </c>
      <c r="J6" s="57" t="s">
        <v>6</v>
      </c>
      <c r="K6" s="58">
        <v>3000</v>
      </c>
    </row>
    <row r="7" spans="2:15" ht="15.75" thickBot="1" x14ac:dyDescent="0.3">
      <c r="B7" s="59" t="s">
        <v>25</v>
      </c>
      <c r="C7" s="60">
        <f>ROUND(ROUND(C6/(1+G10+G15+G19+G17),2)/(1+2/12),2)</f>
        <v>1463.55</v>
      </c>
      <c r="F7" s="19" t="s">
        <v>3</v>
      </c>
      <c r="G7" s="14"/>
      <c r="J7" s="59" t="s">
        <v>25</v>
      </c>
      <c r="K7" s="60">
        <f>ROUND(ROUND(K6/(1+O10+O15+O17),2)/(1+2/12),2)</f>
        <v>2227.1799999999998</v>
      </c>
      <c r="N7" s="19" t="s">
        <v>3</v>
      </c>
      <c r="O7" s="14"/>
    </row>
    <row r="8" spans="2:15" x14ac:dyDescent="0.2">
      <c r="B8" s="56"/>
      <c r="F8" s="14">
        <v>360</v>
      </c>
      <c r="G8" s="14">
        <v>30</v>
      </c>
      <c r="J8" s="56"/>
      <c r="N8" s="14">
        <v>360</v>
      </c>
      <c r="O8" s="14">
        <v>30</v>
      </c>
    </row>
    <row r="9" spans="2:15" ht="13.5" thickBot="1" x14ac:dyDescent="0.25">
      <c r="B9" s="56"/>
      <c r="F9" s="14">
        <v>30</v>
      </c>
      <c r="G9" s="14">
        <f>F9*G8/F8</f>
        <v>2.5</v>
      </c>
      <c r="J9" s="56"/>
      <c r="N9" s="14">
        <v>30</v>
      </c>
      <c r="O9" s="14">
        <f>N9*O8/N8</f>
        <v>2.5</v>
      </c>
    </row>
    <row r="10" spans="2:15" x14ac:dyDescent="0.2">
      <c r="B10" s="68"/>
      <c r="C10" s="69"/>
      <c r="F10" s="14">
        <v>1</v>
      </c>
      <c r="G10" s="25">
        <f>F10*G9/F9</f>
        <v>8.3333333333333329E-2</v>
      </c>
      <c r="J10" s="68"/>
      <c r="K10" s="69"/>
      <c r="N10" s="14">
        <v>1</v>
      </c>
      <c r="O10" s="25">
        <f>N10*O9/N9</f>
        <v>8.3333333333333329E-2</v>
      </c>
    </row>
    <row r="11" spans="2:15" ht="13.5" thickBot="1" x14ac:dyDescent="0.25">
      <c r="B11" s="75" t="s">
        <v>30</v>
      </c>
      <c r="C11" s="70"/>
      <c r="J11" s="75" t="s">
        <v>30</v>
      </c>
      <c r="K11" s="70"/>
    </row>
    <row r="12" spans="2:15" x14ac:dyDescent="0.2">
      <c r="F12" s="20" t="s">
        <v>28</v>
      </c>
      <c r="G12" s="15"/>
      <c r="N12" s="20" t="s">
        <v>28</v>
      </c>
      <c r="O12" s="15"/>
    </row>
    <row r="13" spans="2:15" x14ac:dyDescent="0.2">
      <c r="F13" s="15">
        <v>365</v>
      </c>
      <c r="G13" s="15">
        <v>12</v>
      </c>
      <c r="N13" s="15">
        <v>365</v>
      </c>
      <c r="O13" s="15">
        <v>12</v>
      </c>
    </row>
    <row r="14" spans="2:15" x14ac:dyDescent="0.2">
      <c r="B14" s="52" t="s">
        <v>31</v>
      </c>
      <c r="C14" s="4">
        <f>$C$7</f>
        <v>1463.55</v>
      </c>
      <c r="F14" s="15">
        <v>30</v>
      </c>
      <c r="G14" s="21">
        <f>F14*G13/F13</f>
        <v>0.98630136986301364</v>
      </c>
      <c r="J14" s="52" t="s">
        <v>31</v>
      </c>
      <c r="K14" s="4">
        <f>K7</f>
        <v>2227.1799999999998</v>
      </c>
      <c r="N14" s="15">
        <v>30</v>
      </c>
      <c r="O14" s="21">
        <f>N14*O13/N13</f>
        <v>0.98630136986301364</v>
      </c>
    </row>
    <row r="15" spans="2:15" x14ac:dyDescent="0.2">
      <c r="B15" s="52" t="s">
        <v>32</v>
      </c>
      <c r="C15" s="4">
        <f>C14*2/12</f>
        <v>243.92499999999998</v>
      </c>
      <c r="F15" s="15">
        <v>1</v>
      </c>
      <c r="G15" s="26">
        <f>F15*G14/F14</f>
        <v>3.287671232876712E-2</v>
      </c>
      <c r="J15" s="52" t="s">
        <v>32</v>
      </c>
      <c r="K15" s="4">
        <f>K14*2/12</f>
        <v>371.19666666666666</v>
      </c>
      <c r="N15" s="15">
        <v>1</v>
      </c>
      <c r="O15" s="26">
        <f>N15*O14/N14</f>
        <v>3.287671232876712E-2</v>
      </c>
    </row>
    <row r="16" spans="2:15" x14ac:dyDescent="0.2">
      <c r="B16" s="66" t="s">
        <v>6</v>
      </c>
      <c r="C16" s="67">
        <f>SUM(C14:C15)</f>
        <v>1707.4749999999999</v>
      </c>
      <c r="J16" s="66" t="s">
        <v>6</v>
      </c>
      <c r="K16" s="67">
        <f>SUM(K14:K15)</f>
        <v>2598.3766666666666</v>
      </c>
    </row>
    <row r="17" spans="2:16" x14ac:dyDescent="0.2">
      <c r="B17" s="79" t="s">
        <v>33</v>
      </c>
      <c r="C17" s="4">
        <f>C16*G10</f>
        <v>142.28958333333333</v>
      </c>
      <c r="J17" s="79" t="s">
        <v>33</v>
      </c>
      <c r="K17" s="4">
        <f>K16*O10</f>
        <v>216.53138888888887</v>
      </c>
      <c r="N17" s="77" t="s">
        <v>39</v>
      </c>
      <c r="O17" s="85">
        <f>+O20</f>
        <v>3.8356164383561639E-2</v>
      </c>
    </row>
    <row r="18" spans="2:16" ht="14.25" customHeight="1" x14ac:dyDescent="0.2">
      <c r="B18" s="80" t="s">
        <v>35</v>
      </c>
      <c r="C18" s="4">
        <f>C16*G15</f>
        <v>56.136164383561635</v>
      </c>
      <c r="F18" s="63"/>
      <c r="G18" s="63"/>
      <c r="J18" s="80" t="s">
        <v>35</v>
      </c>
      <c r="K18" s="4">
        <f>K16*O15</f>
        <v>85.426082191780807</v>
      </c>
      <c r="N18" s="76">
        <v>365</v>
      </c>
      <c r="O18" s="76">
        <v>14</v>
      </c>
    </row>
    <row r="19" spans="2:16" x14ac:dyDescent="0.2">
      <c r="B19" s="71" t="s">
        <v>6</v>
      </c>
      <c r="C19" s="72">
        <f>C16+C17+C18</f>
        <v>1905.9007477168948</v>
      </c>
      <c r="D19" s="62"/>
      <c r="E19" s="62"/>
      <c r="F19" s="63"/>
      <c r="G19" s="63"/>
      <c r="H19" s="62"/>
      <c r="J19" s="77" t="s">
        <v>40</v>
      </c>
      <c r="K19" s="81">
        <f>+K16*O20</f>
        <v>99.663762557077604</v>
      </c>
      <c r="L19" s="62"/>
      <c r="M19" s="62"/>
      <c r="N19" s="76">
        <v>30</v>
      </c>
      <c r="O19" s="83">
        <f>+N19*O18/N18</f>
        <v>1.1506849315068493</v>
      </c>
      <c r="P19" s="62"/>
    </row>
    <row r="20" spans="2:16" x14ac:dyDescent="0.2">
      <c r="D20" s="6"/>
      <c r="E20" s="9"/>
      <c r="F20" s="63"/>
      <c r="G20" s="63"/>
      <c r="H20" s="63"/>
      <c r="J20" s="71" t="s">
        <v>6</v>
      </c>
      <c r="K20" s="72">
        <f>K16+K17+K18+K19</f>
        <v>2999.9979003044141</v>
      </c>
      <c r="L20" s="6"/>
      <c r="M20" s="9"/>
      <c r="N20" s="76">
        <v>1</v>
      </c>
      <c r="O20" s="84">
        <f>+N20*O19/N19</f>
        <v>3.8356164383561639E-2</v>
      </c>
      <c r="P20" s="63"/>
    </row>
    <row r="21" spans="2:16" x14ac:dyDescent="0.2">
      <c r="D21" s="6"/>
      <c r="E21" s="9"/>
      <c r="F21" s="63"/>
      <c r="G21" s="63"/>
      <c r="H21" s="63"/>
      <c r="L21" s="6"/>
      <c r="M21" s="9"/>
      <c r="N21" s="76"/>
      <c r="O21" s="76"/>
      <c r="P21" s="63"/>
    </row>
    <row r="22" spans="2:16" x14ac:dyDescent="0.2">
      <c r="B22" s="4"/>
      <c r="C22" s="11"/>
      <c r="D22" s="6"/>
      <c r="E22" s="4"/>
      <c r="F22" s="63"/>
      <c r="G22" s="63"/>
      <c r="H22" s="63"/>
      <c r="J22" s="4"/>
      <c r="K22" s="11"/>
      <c r="L22" s="6"/>
      <c r="M22" s="4"/>
      <c r="N22" s="63"/>
      <c r="O22" s="63"/>
      <c r="P22" s="63"/>
    </row>
    <row r="23" spans="2:16" x14ac:dyDescent="0.2">
      <c r="B23" s="4"/>
      <c r="C23" s="1"/>
      <c r="D23" s="6"/>
      <c r="E23" s="63"/>
      <c r="F23" s="63"/>
      <c r="G23" s="63"/>
      <c r="H23" s="63"/>
      <c r="J23" s="4"/>
      <c r="K23" s="1"/>
      <c r="L23" s="6"/>
      <c r="M23" s="63"/>
      <c r="N23" s="63"/>
      <c r="O23" s="63"/>
      <c r="P23" s="63"/>
    </row>
    <row r="24" spans="2:16" x14ac:dyDescent="0.2">
      <c r="B24" s="4"/>
      <c r="C24" s="1"/>
      <c r="E24" s="63"/>
      <c r="F24" s="63"/>
      <c r="G24" s="63"/>
      <c r="H24" s="64"/>
      <c r="J24" s="4"/>
      <c r="K24" s="1"/>
      <c r="M24" s="63"/>
      <c r="N24" s="63"/>
      <c r="O24" s="63"/>
      <c r="P24" s="64"/>
    </row>
    <row r="25" spans="2:16" x14ac:dyDescent="0.2">
      <c r="F25" s="63"/>
      <c r="G25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2B18-D7BC-4B55-A03C-E70524ED1E0D}">
  <sheetPr>
    <pageSetUpPr fitToPage="1"/>
  </sheetPr>
  <dimension ref="B1:U43"/>
  <sheetViews>
    <sheetView workbookViewId="0">
      <selection activeCell="C14" sqref="C14"/>
    </sheetView>
  </sheetViews>
  <sheetFormatPr defaultColWidth="9.140625" defaultRowHeight="12.75" x14ac:dyDescent="0.2"/>
  <cols>
    <col min="1" max="1" width="11.42578125" customWidth="1"/>
    <col min="2" max="2" width="22.28515625" customWidth="1"/>
    <col min="3" max="3" width="12.85546875" bestFit="1" customWidth="1"/>
    <col min="4" max="4" width="11.42578125" customWidth="1"/>
    <col min="5" max="5" width="25.28515625" customWidth="1"/>
    <col min="6" max="6" width="19.28515625" customWidth="1"/>
    <col min="7" max="7" width="19.28515625" bestFit="1" customWidth="1"/>
    <col min="8" max="8" width="8" customWidth="1"/>
    <col min="9" max="9" width="12.42578125" bestFit="1" customWidth="1"/>
    <col min="10" max="10" width="11.7109375" bestFit="1" customWidth="1"/>
    <col min="11" max="11" width="15.28515625" bestFit="1" customWidth="1"/>
    <col min="12" max="13" width="15.7109375" bestFit="1" customWidth="1"/>
    <col min="14" max="16" width="11.42578125" customWidth="1"/>
    <col min="17" max="17" width="12" bestFit="1" customWidth="1"/>
  </cols>
  <sheetData>
    <row r="1" spans="2:21" ht="13.5" thickBot="1" x14ac:dyDescent="0.25"/>
    <row r="2" spans="2:21" x14ac:dyDescent="0.2">
      <c r="F2" s="57" t="s">
        <v>6</v>
      </c>
      <c r="G2" s="58">
        <v>57.09</v>
      </c>
    </row>
    <row r="3" spans="2:21" ht="15.75" thickBot="1" x14ac:dyDescent="0.3">
      <c r="B3" s="1"/>
      <c r="F3" s="59" t="s">
        <v>25</v>
      </c>
      <c r="G3" s="60">
        <f>ROUND(ROUND(G2/(1+L6+L11),2)/(1+2/12),2)</f>
        <v>43.84</v>
      </c>
      <c r="K3" s="19" t="s">
        <v>3</v>
      </c>
      <c r="L3" s="14"/>
      <c r="P3" s="3"/>
      <c r="Q3" s="1"/>
      <c r="R3" s="1"/>
      <c r="S3" s="1"/>
      <c r="T3" s="1"/>
    </row>
    <row r="4" spans="2:21" x14ac:dyDescent="0.2">
      <c r="B4" s="1"/>
      <c r="C4" s="4"/>
      <c r="F4" s="56"/>
      <c r="K4" s="14">
        <v>360</v>
      </c>
      <c r="L4" s="14">
        <v>30</v>
      </c>
      <c r="N4">
        <v>51.14</v>
      </c>
      <c r="O4">
        <f>+N4*L6</f>
        <v>4.2616666666666667</v>
      </c>
      <c r="P4" s="3"/>
      <c r="Q4" s="3"/>
      <c r="R4" s="3"/>
      <c r="S4" s="3"/>
      <c r="T4" s="3"/>
      <c r="U4" s="3"/>
    </row>
    <row r="5" spans="2:21" x14ac:dyDescent="0.2">
      <c r="B5" s="1" t="s">
        <v>19</v>
      </c>
      <c r="C5" s="50">
        <v>45231</v>
      </c>
      <c r="F5" s="56"/>
      <c r="K5" s="14">
        <v>30</v>
      </c>
      <c r="L5" s="14">
        <f>K5*L4/K4</f>
        <v>2.5</v>
      </c>
      <c r="O5">
        <f>+N4*L11</f>
        <v>1.6813150684931506</v>
      </c>
      <c r="P5" s="4"/>
    </row>
    <row r="6" spans="2:21" x14ac:dyDescent="0.2">
      <c r="B6" s="1" t="s">
        <v>20</v>
      </c>
      <c r="C6" s="50">
        <v>45473</v>
      </c>
      <c r="F6" s="56">
        <f>1080*14/12</f>
        <v>1260</v>
      </c>
      <c r="G6" s="1" t="s">
        <v>26</v>
      </c>
      <c r="K6" s="14">
        <v>1</v>
      </c>
      <c r="L6" s="25">
        <f>K6*L5/K5</f>
        <v>8.3333333333333329E-2</v>
      </c>
    </row>
    <row r="7" spans="2:21" x14ac:dyDescent="0.2">
      <c r="B7" s="1" t="s">
        <v>21</v>
      </c>
      <c r="C7" s="51">
        <f>+DAYS360("1-11-23","30-06-24",TRUE)+1</f>
        <v>240</v>
      </c>
      <c r="F7" s="54"/>
      <c r="G7" s="61"/>
      <c r="H7" s="5"/>
    </row>
    <row r="8" spans="2:21" x14ac:dyDescent="0.2">
      <c r="B8" s="1"/>
      <c r="C8" s="4"/>
      <c r="F8" s="53"/>
      <c r="K8" s="20" t="s">
        <v>5</v>
      </c>
      <c r="L8" s="15"/>
    </row>
    <row r="9" spans="2:21" x14ac:dyDescent="0.2">
      <c r="B9" s="1"/>
      <c r="K9" s="15">
        <v>365</v>
      </c>
      <c r="L9" s="15">
        <v>12</v>
      </c>
    </row>
    <row r="10" spans="2:21" x14ac:dyDescent="0.2">
      <c r="B10" s="1"/>
      <c r="C10" s="4"/>
      <c r="K10" s="15">
        <v>30</v>
      </c>
      <c r="L10" s="21">
        <f>K10*L9/K9</f>
        <v>0.98630136986301364</v>
      </c>
    </row>
    <row r="11" spans="2:21" x14ac:dyDescent="0.2">
      <c r="K11" s="15">
        <v>1</v>
      </c>
      <c r="L11" s="26">
        <f>K11*L10/K10</f>
        <v>3.287671232876712E-2</v>
      </c>
      <c r="M11" s="1"/>
    </row>
    <row r="12" spans="2:21" x14ac:dyDescent="0.2">
      <c r="M12" s="1"/>
      <c r="N12" s="1" t="s">
        <v>0</v>
      </c>
    </row>
    <row r="13" spans="2:21" x14ac:dyDescent="0.2">
      <c r="E13" s="6" t="s">
        <v>18</v>
      </c>
      <c r="M13" s="1"/>
    </row>
    <row r="14" spans="2:21" x14ac:dyDescent="0.2">
      <c r="B14" s="7" t="s">
        <v>12</v>
      </c>
      <c r="C14" s="8">
        <v>8000</v>
      </c>
      <c r="E14" s="22" t="s">
        <v>22</v>
      </c>
      <c r="F14" s="4"/>
    </row>
    <row r="15" spans="2:21" x14ac:dyDescent="0.2">
      <c r="B15" s="52" t="s">
        <v>1</v>
      </c>
      <c r="C15" s="4">
        <f>G3</f>
        <v>43.84</v>
      </c>
      <c r="D15" s="28">
        <f>C15/C14</f>
        <v>5.4800000000000005E-3</v>
      </c>
      <c r="E15" s="4">
        <f>C15/C7*30</f>
        <v>5.48</v>
      </c>
      <c r="F15" s="4"/>
      <c r="G15" s="45" t="s">
        <v>17</v>
      </c>
      <c r="H15" s="41" t="s">
        <v>8</v>
      </c>
      <c r="I15" s="27" t="s">
        <v>1</v>
      </c>
      <c r="J15" s="27" t="s">
        <v>2</v>
      </c>
      <c r="K15" s="36" t="s">
        <v>3</v>
      </c>
      <c r="L15" s="36" t="s">
        <v>4</v>
      </c>
      <c r="M15" s="36" t="s">
        <v>6</v>
      </c>
    </row>
    <row r="16" spans="2:21" x14ac:dyDescent="0.2">
      <c r="B16" s="52" t="s">
        <v>9</v>
      </c>
      <c r="C16" s="4">
        <f>C15*2/12</f>
        <v>7.3066666666666675</v>
      </c>
      <c r="D16" s="28">
        <f>C16/C14</f>
        <v>9.1333333333333349E-4</v>
      </c>
      <c r="E16" s="4">
        <f>C16/C7*30</f>
        <v>0.91333333333333344</v>
      </c>
      <c r="F16" s="4"/>
      <c r="G16" s="46" t="s">
        <v>7</v>
      </c>
      <c r="H16" s="42">
        <v>3</v>
      </c>
      <c r="I16" s="40">
        <f>I17/30*H16</f>
        <v>0.54800000000000004</v>
      </c>
      <c r="J16" s="17">
        <f>I16*2/12</f>
        <v>9.1333333333333336E-2</v>
      </c>
      <c r="K16" s="33">
        <f>(I16+J16)*L6</f>
        <v>5.3277777777777785E-2</v>
      </c>
      <c r="L16" s="30">
        <f>(I16+J16)*L11</f>
        <v>2.1019178082191781E-2</v>
      </c>
      <c r="M16" s="37">
        <f>SUM(I16:L16)</f>
        <v>0.71363028919330296</v>
      </c>
    </row>
    <row r="17" spans="2:13" x14ac:dyDescent="0.2">
      <c r="B17" s="12" t="s">
        <v>6</v>
      </c>
      <c r="C17" s="13">
        <f>SUM(C15:C16)</f>
        <v>51.146666666666668</v>
      </c>
      <c r="D17" s="29"/>
      <c r="E17" s="13">
        <f>SUM(E15:E16)</f>
        <v>6.3933333333333335</v>
      </c>
      <c r="F17" s="4"/>
      <c r="G17" s="46" t="s">
        <v>24</v>
      </c>
      <c r="H17" s="42">
        <v>30</v>
      </c>
      <c r="I17" s="40">
        <f>E15</f>
        <v>5.48</v>
      </c>
      <c r="J17" s="17">
        <f>I17*2/12</f>
        <v>0.91333333333333344</v>
      </c>
      <c r="K17" s="33">
        <f>(I17+J17)*L6</f>
        <v>0.53277777777777779</v>
      </c>
      <c r="L17" s="30">
        <f>(I17+J17)*L11</f>
        <v>0.21019178082191781</v>
      </c>
      <c r="M17" s="37">
        <f>SUM(I17:L17)</f>
        <v>7.1363028919330294</v>
      </c>
    </row>
    <row r="18" spans="2:13" x14ac:dyDescent="0.2">
      <c r="B18" s="52" t="s">
        <v>10</v>
      </c>
      <c r="C18" s="4">
        <f>C17*L6</f>
        <v>4.2622222222222224</v>
      </c>
      <c r="D18" s="28">
        <f>C18/C14</f>
        <v>5.3277777777777774E-4</v>
      </c>
      <c r="E18" s="4">
        <f>E17*L6</f>
        <v>0.53277777777777779</v>
      </c>
      <c r="F18" s="4"/>
      <c r="G18" s="47"/>
      <c r="H18" s="42"/>
      <c r="I18" s="16"/>
      <c r="J18" s="17"/>
      <c r="K18" s="33"/>
      <c r="L18" s="30"/>
      <c r="M18" s="37"/>
    </row>
    <row r="19" spans="2:13" x14ac:dyDescent="0.2">
      <c r="B19" s="52" t="s">
        <v>11</v>
      </c>
      <c r="C19" s="4">
        <f>C17*L11</f>
        <v>1.6815342465753425</v>
      </c>
      <c r="D19" s="28">
        <f>C19/C14</f>
        <v>2.1019178082191782E-4</v>
      </c>
      <c r="E19" s="4">
        <f>E17*L11</f>
        <v>0.21019178082191781</v>
      </c>
      <c r="F19" s="4"/>
      <c r="G19" s="48" t="s">
        <v>6</v>
      </c>
      <c r="H19" s="43">
        <f t="shared" ref="H19:M19" si="0">SUM(H16:H18)</f>
        <v>33</v>
      </c>
      <c r="I19" s="18">
        <f t="shared" si="0"/>
        <v>6.0280000000000005</v>
      </c>
      <c r="J19" s="18">
        <f t="shared" si="0"/>
        <v>1.0046666666666668</v>
      </c>
      <c r="K19" s="34">
        <f t="shared" si="0"/>
        <v>0.58605555555555555</v>
      </c>
      <c r="L19" s="31">
        <f t="shared" si="0"/>
        <v>0.23121095890410959</v>
      </c>
      <c r="M19" s="38">
        <f t="shared" si="0"/>
        <v>7.8499331811263326</v>
      </c>
    </row>
    <row r="20" spans="2:13" x14ac:dyDescent="0.2">
      <c r="B20" s="7" t="s">
        <v>6</v>
      </c>
      <c r="C20" s="8">
        <f>C17+C18+C19</f>
        <v>57.090423135464235</v>
      </c>
      <c r="D20" s="29">
        <f>SUM(D15:D19)</f>
        <v>7.1363028919330298E-3</v>
      </c>
      <c r="E20" s="8">
        <f>E17+E18+E19</f>
        <v>7.1363028919330294</v>
      </c>
      <c r="F20" s="4"/>
      <c r="G20" s="49"/>
      <c r="H20" s="44"/>
      <c r="I20" s="130">
        <f>SUM(I19:J19)</f>
        <v>7.0326666666666675</v>
      </c>
      <c r="J20" s="130"/>
      <c r="K20" s="35">
        <f>SUM(K16:K18)</f>
        <v>0.58605555555555555</v>
      </c>
      <c r="L20" s="32">
        <f>SUM(L16:L18)</f>
        <v>0.23121095890410959</v>
      </c>
      <c r="M20" s="39">
        <f>SUM(I20:L20)</f>
        <v>7.8499331811263326</v>
      </c>
    </row>
    <row r="21" spans="2:13" x14ac:dyDescent="0.2">
      <c r="C21" s="4">
        <f>+C15+C16+C19</f>
        <v>52.828200913242014</v>
      </c>
      <c r="I21" s="4"/>
    </row>
    <row r="22" spans="2:13" x14ac:dyDescent="0.2">
      <c r="J22" s="4">
        <f>+I20+K20</f>
        <v>7.6187222222222228</v>
      </c>
    </row>
    <row r="24" spans="2:13" x14ac:dyDescent="0.2">
      <c r="H24" s="1"/>
      <c r="I24" s="1"/>
      <c r="J24" s="1"/>
      <c r="K24" s="11"/>
      <c r="L24" s="1"/>
      <c r="M24" s="1"/>
    </row>
    <row r="25" spans="2:13" x14ac:dyDescent="0.2">
      <c r="C25" s="2"/>
      <c r="G25" s="1"/>
      <c r="H25" s="6"/>
      <c r="I25" s="9"/>
      <c r="J25" s="10"/>
      <c r="K25" s="10"/>
      <c r="L25" s="10"/>
      <c r="M25" s="10"/>
    </row>
    <row r="26" spans="2:13" x14ac:dyDescent="0.2">
      <c r="B26" s="4">
        <f>C17+E18</f>
        <v>51.679444444444449</v>
      </c>
      <c r="C26" s="2"/>
      <c r="G26" s="1"/>
      <c r="H26" s="6"/>
      <c r="I26" s="9"/>
      <c r="J26" s="10"/>
      <c r="K26" s="10"/>
      <c r="L26" s="10"/>
      <c r="M26" s="10"/>
    </row>
    <row r="27" spans="2:13" x14ac:dyDescent="0.2">
      <c r="C27" s="2"/>
      <c r="G27" s="11"/>
      <c r="H27" s="6"/>
      <c r="I27" s="4"/>
      <c r="J27" s="10"/>
      <c r="K27" s="10"/>
      <c r="L27" s="10"/>
      <c r="M27" s="10"/>
    </row>
    <row r="28" spans="2:13" x14ac:dyDescent="0.2">
      <c r="C28" s="2"/>
      <c r="E28" s="1" t="s">
        <v>23</v>
      </c>
      <c r="G28" s="1"/>
      <c r="H28" s="6"/>
      <c r="I28" s="10"/>
      <c r="J28" s="10"/>
      <c r="K28" s="10"/>
      <c r="L28" s="10"/>
      <c r="M28" s="10"/>
    </row>
    <row r="29" spans="2:13" x14ac:dyDescent="0.2">
      <c r="C29" s="2"/>
    </row>
    <row r="30" spans="2:13" x14ac:dyDescent="0.2">
      <c r="C30" s="2"/>
      <c r="E30" s="20" t="s">
        <v>5</v>
      </c>
      <c r="F30" s="15"/>
      <c r="G30" s="15"/>
      <c r="J30">
        <f>130/1.116</f>
        <v>116.4874551971326</v>
      </c>
      <c r="L30" s="55">
        <f>1+L11+L6</f>
        <v>1.1162100456621005</v>
      </c>
    </row>
    <row r="31" spans="2:13" x14ac:dyDescent="0.2">
      <c r="E31" s="1" t="s">
        <v>13</v>
      </c>
      <c r="F31" s="4">
        <f>E17</f>
        <v>6.3933333333333335</v>
      </c>
      <c r="G31">
        <v>30</v>
      </c>
      <c r="L31">
        <f>ROUND(G2/L30,2)</f>
        <v>51.15</v>
      </c>
    </row>
    <row r="32" spans="2:13" x14ac:dyDescent="0.2">
      <c r="E32" s="1" t="s">
        <v>14</v>
      </c>
      <c r="F32" s="4">
        <f>F31*G32/G31</f>
        <v>2.5573333333333332</v>
      </c>
      <c r="G32">
        <v>12</v>
      </c>
      <c r="J32">
        <f>0.083+0.033</f>
        <v>0.11600000000000001</v>
      </c>
      <c r="L32">
        <f>ROUND(L31/(1+2/12),2)</f>
        <v>43.84</v>
      </c>
    </row>
    <row r="33" spans="5:10" x14ac:dyDescent="0.2">
      <c r="J33" s="4"/>
    </row>
    <row r="34" spans="5:10" x14ac:dyDescent="0.2">
      <c r="F34">
        <v>926.78</v>
      </c>
      <c r="G34">
        <v>365</v>
      </c>
      <c r="J34">
        <f>2/12</f>
        <v>0.16666666666666666</v>
      </c>
    </row>
    <row r="35" spans="5:10" x14ac:dyDescent="0.2">
      <c r="E35" s="1" t="s">
        <v>15</v>
      </c>
      <c r="F35" s="24">
        <f>F34*G35/G34</f>
        <v>147.2691506849315</v>
      </c>
      <c r="G35">
        <v>58</v>
      </c>
    </row>
    <row r="38" spans="5:10" x14ac:dyDescent="0.2">
      <c r="E38" s="19" t="s">
        <v>3</v>
      </c>
      <c r="F38" s="14"/>
      <c r="G38" s="14"/>
    </row>
    <row r="39" spans="5:10" x14ac:dyDescent="0.2">
      <c r="E39" s="1" t="s">
        <v>13</v>
      </c>
      <c r="F39" s="4">
        <f>F31</f>
        <v>6.3933333333333335</v>
      </c>
      <c r="G39">
        <v>360</v>
      </c>
    </row>
    <row r="40" spans="5:10" x14ac:dyDescent="0.2">
      <c r="E40" s="1" t="s">
        <v>16</v>
      </c>
      <c r="F40" s="23">
        <f>F39*G40/G39</f>
        <v>1.0300370370370371</v>
      </c>
      <c r="G40">
        <v>58</v>
      </c>
    </row>
    <row r="43" spans="5:10" x14ac:dyDescent="0.2">
      <c r="E43" s="1"/>
      <c r="F43" s="2"/>
    </row>
  </sheetData>
  <mergeCells count="1">
    <mergeCell ref="I20:J20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CF35-AB38-4588-AE1D-F1B7726BC724}">
  <sheetPr>
    <tabColor rgb="FF0070C0"/>
    <pageSetUpPr fitToPage="1"/>
  </sheetPr>
  <dimension ref="B7:M44"/>
  <sheetViews>
    <sheetView showGridLines="0" tabSelected="1" workbookViewId="0">
      <selection activeCell="E23" sqref="E23"/>
    </sheetView>
  </sheetViews>
  <sheetFormatPr defaultColWidth="9.140625" defaultRowHeight="12.75" x14ac:dyDescent="0.2"/>
  <cols>
    <col min="1" max="1" width="11.42578125" customWidth="1"/>
    <col min="2" max="2" width="50.28515625" customWidth="1"/>
    <col min="3" max="3" width="24.42578125" customWidth="1"/>
    <col min="4" max="4" width="25.7109375" customWidth="1"/>
    <col min="5" max="5" width="25.28515625" customWidth="1"/>
    <col min="6" max="6" width="15.7109375" bestFit="1" customWidth="1"/>
    <col min="7" max="7" width="5.42578125" bestFit="1" customWidth="1"/>
    <col min="8" max="8" width="8" customWidth="1"/>
    <col min="9" max="9" width="13.7109375" bestFit="1" customWidth="1"/>
    <col min="10" max="10" width="47.5703125" bestFit="1" customWidth="1"/>
    <col min="11" max="11" width="9.5703125" bestFit="1" customWidth="1"/>
    <col min="12" max="13" width="15.7109375" bestFit="1" customWidth="1"/>
    <col min="14" max="16" width="11.42578125" customWidth="1"/>
    <col min="17" max="17" width="12" bestFit="1" customWidth="1"/>
  </cols>
  <sheetData>
    <row r="7" spans="2:8" ht="18" x14ac:dyDescent="0.25">
      <c r="B7" s="125" t="s">
        <v>75</v>
      </c>
      <c r="C7" s="125"/>
      <c r="D7" s="87"/>
      <c r="E7" s="87"/>
      <c r="H7" s="87"/>
    </row>
    <row r="8" spans="2:8" ht="15" x14ac:dyDescent="0.25">
      <c r="B8" s="126" t="s">
        <v>76</v>
      </c>
      <c r="C8" s="126"/>
      <c r="D8" s="87"/>
      <c r="E8" s="87"/>
      <c r="H8" s="87"/>
    </row>
    <row r="9" spans="2:8" ht="15" x14ac:dyDescent="0.25">
      <c r="B9" s="126"/>
      <c r="C9" s="126"/>
      <c r="D9" s="87"/>
      <c r="E9" s="87"/>
      <c r="H9" s="87"/>
    </row>
    <row r="10" spans="2:8" ht="15" x14ac:dyDescent="0.25">
      <c r="B10" s="98"/>
      <c r="C10" s="98"/>
      <c r="D10" s="87"/>
      <c r="E10" s="87"/>
      <c r="H10" s="87"/>
    </row>
    <row r="11" spans="2:8" ht="15" x14ac:dyDescent="0.25">
      <c r="D11" s="87"/>
      <c r="E11" s="87"/>
      <c r="H11" s="87"/>
    </row>
    <row r="12" spans="2:8" ht="38.25" thickBot="1" x14ac:dyDescent="0.35">
      <c r="B12" s="112" t="s">
        <v>85</v>
      </c>
      <c r="C12" s="113">
        <v>2500</v>
      </c>
      <c r="D12" s="97" t="s">
        <v>86</v>
      </c>
      <c r="E12" s="87"/>
      <c r="H12" s="87"/>
    </row>
    <row r="13" spans="2:8" ht="15.75" hidden="1" thickBot="1" x14ac:dyDescent="0.3">
      <c r="B13" s="99" t="s">
        <v>77</v>
      </c>
      <c r="C13" s="100">
        <f>ROUND(ROUND(C12/(1+'Guía rápida (ES)'!B31+'Guía rápida (ES)'!B36),2)/(1+2/12),2)</f>
        <v>1919.76</v>
      </c>
      <c r="D13" s="87"/>
      <c r="E13" s="87"/>
      <c r="F13" s="87"/>
      <c r="G13" s="87"/>
      <c r="H13" s="87"/>
    </row>
    <row r="14" spans="2:8" ht="15" x14ac:dyDescent="0.25">
      <c r="B14" s="98"/>
      <c r="C14" s="101"/>
      <c r="D14" s="87"/>
      <c r="E14" s="89"/>
      <c r="F14" s="87"/>
      <c r="G14" s="87"/>
      <c r="H14" s="87"/>
    </row>
    <row r="15" spans="2:8" ht="17.45" customHeight="1" x14ac:dyDescent="0.25">
      <c r="B15" s="127" t="s">
        <v>78</v>
      </c>
      <c r="C15" s="128"/>
      <c r="D15" s="87"/>
      <c r="E15" s="88"/>
      <c r="F15" s="88"/>
      <c r="G15" s="87"/>
      <c r="H15" s="87"/>
    </row>
    <row r="16" spans="2:8" ht="17.45" customHeight="1" x14ac:dyDescent="0.25">
      <c r="B16" s="114" t="s">
        <v>31</v>
      </c>
      <c r="C16" s="102">
        <f>C13</f>
        <v>1919.76</v>
      </c>
      <c r="D16" s="90"/>
      <c r="E16" s="88"/>
      <c r="F16" s="88"/>
      <c r="G16" s="91"/>
      <c r="H16" s="92"/>
    </row>
    <row r="17" spans="2:13" ht="17.45" customHeight="1" x14ac:dyDescent="0.25">
      <c r="B17" s="115" t="s">
        <v>79</v>
      </c>
      <c r="C17" s="103">
        <f>C16*2/12</f>
        <v>319.95999999999998</v>
      </c>
      <c r="D17" s="90"/>
      <c r="E17" s="88"/>
      <c r="F17" s="88"/>
      <c r="G17" s="87"/>
      <c r="H17" s="89"/>
    </row>
    <row r="18" spans="2:13" ht="17.45" customHeight="1" thickBot="1" x14ac:dyDescent="0.3">
      <c r="B18" s="104" t="s">
        <v>80</v>
      </c>
      <c r="C18" s="105">
        <f>SUM(C16:C17)</f>
        <v>2239.7199999999998</v>
      </c>
      <c r="D18" s="93"/>
      <c r="E18" s="94"/>
      <c r="F18" s="88"/>
      <c r="G18" s="87"/>
      <c r="H18" s="89"/>
    </row>
    <row r="19" spans="2:13" ht="17.45" customHeight="1" x14ac:dyDescent="0.25">
      <c r="B19" s="116" t="s">
        <v>81</v>
      </c>
      <c r="C19" s="106">
        <f>C18*'Guía rápida (ES)'!B31</f>
        <v>186.64333333333332</v>
      </c>
      <c r="D19" s="90"/>
      <c r="E19" s="88"/>
      <c r="F19" s="88"/>
      <c r="G19" s="88"/>
      <c r="H19" s="89"/>
    </row>
    <row r="20" spans="2:13" ht="17.45" customHeight="1" x14ac:dyDescent="0.25">
      <c r="B20" s="115" t="s">
        <v>82</v>
      </c>
      <c r="C20" s="103">
        <f>C18*'Guía rápida (ES)'!B36</f>
        <v>73.634630136986289</v>
      </c>
      <c r="D20" s="90"/>
      <c r="E20" s="88"/>
      <c r="F20" s="88"/>
      <c r="G20" s="87"/>
      <c r="H20" s="89"/>
    </row>
    <row r="21" spans="2:13" ht="17.45" customHeight="1" thickBot="1" x14ac:dyDescent="0.3">
      <c r="B21" s="107" t="s">
        <v>83</v>
      </c>
      <c r="C21" s="108">
        <f>C18+C19+C20</f>
        <v>2499.9979634703195</v>
      </c>
      <c r="D21" s="93"/>
      <c r="E21" s="88"/>
      <c r="F21" s="88"/>
      <c r="G21" s="87"/>
      <c r="H21" s="87"/>
    </row>
    <row r="22" spans="2:13" ht="17.45" customHeight="1" x14ac:dyDescent="0.25">
      <c r="B22" s="98"/>
      <c r="C22" s="109"/>
      <c r="D22" s="87"/>
      <c r="E22" s="87"/>
      <c r="F22" s="87"/>
      <c r="G22" s="87"/>
      <c r="H22" s="87"/>
    </row>
    <row r="23" spans="2:13" ht="17.45" customHeight="1" x14ac:dyDescent="0.25">
      <c r="B23" s="110" t="s">
        <v>84</v>
      </c>
      <c r="C23" s="111">
        <f>C16+C17+C19</f>
        <v>2426.3633333333332</v>
      </c>
      <c r="D23" s="87"/>
      <c r="E23" s="87"/>
      <c r="F23" s="87"/>
      <c r="G23" s="87"/>
      <c r="H23" s="87"/>
    </row>
    <row r="24" spans="2:13" ht="15" x14ac:dyDescent="0.25">
      <c r="B24" s="87"/>
      <c r="C24" s="87"/>
      <c r="D24" s="87"/>
      <c r="E24" s="87"/>
      <c r="F24" s="87"/>
      <c r="G24" s="87"/>
      <c r="H24" s="87"/>
    </row>
    <row r="25" spans="2:13" ht="15" x14ac:dyDescent="0.25">
      <c r="B25" s="87"/>
      <c r="C25" s="87"/>
      <c r="D25" s="87"/>
      <c r="E25" s="87"/>
      <c r="F25" s="87"/>
      <c r="G25" s="87"/>
      <c r="H25" s="87"/>
    </row>
    <row r="26" spans="2:13" x14ac:dyDescent="0.2">
      <c r="C26" s="2"/>
      <c r="G26" s="1"/>
      <c r="H26" s="6"/>
      <c r="I26" s="9"/>
      <c r="J26" s="10"/>
      <c r="K26" s="10"/>
      <c r="L26" s="10"/>
      <c r="M26" s="10"/>
    </row>
    <row r="27" spans="2:13" x14ac:dyDescent="0.2">
      <c r="B27" s="4"/>
      <c r="C27" s="2"/>
      <c r="G27" s="1"/>
      <c r="H27" s="6"/>
      <c r="I27" s="9"/>
      <c r="J27" s="10"/>
      <c r="K27" s="10"/>
      <c r="L27" s="10"/>
      <c r="M27" s="10"/>
    </row>
    <row r="28" spans="2:13" x14ac:dyDescent="0.2">
      <c r="C28" s="2"/>
      <c r="G28" s="11"/>
      <c r="H28" s="6"/>
      <c r="I28" s="4"/>
      <c r="J28" s="10"/>
      <c r="K28" s="10"/>
      <c r="L28" s="10"/>
      <c r="M28" s="10"/>
    </row>
    <row r="29" spans="2:13" x14ac:dyDescent="0.2">
      <c r="C29" s="2"/>
      <c r="E29" s="1"/>
      <c r="G29" s="1"/>
      <c r="H29" s="6"/>
      <c r="I29" s="10"/>
      <c r="J29" s="10"/>
      <c r="K29" s="10"/>
      <c r="L29" s="10"/>
      <c r="M29" s="10"/>
    </row>
    <row r="30" spans="2:13" x14ac:dyDescent="0.2">
      <c r="C30" s="2"/>
    </row>
    <row r="31" spans="2:13" x14ac:dyDescent="0.2">
      <c r="C31" s="2"/>
      <c r="E31" s="1"/>
      <c r="L31" s="55"/>
    </row>
    <row r="32" spans="2:13" x14ac:dyDescent="0.2">
      <c r="E32" s="1"/>
      <c r="F32" s="4"/>
    </row>
    <row r="33" spans="5:10" x14ac:dyDescent="0.2">
      <c r="E33" s="1"/>
      <c r="F33" s="4"/>
    </row>
    <row r="34" spans="5:10" x14ac:dyDescent="0.2">
      <c r="J34" s="4"/>
    </row>
    <row r="36" spans="5:10" x14ac:dyDescent="0.2">
      <c r="E36" s="1"/>
      <c r="F36" s="64"/>
    </row>
    <row r="39" spans="5:10" x14ac:dyDescent="0.2">
      <c r="E39" s="1"/>
    </row>
    <row r="40" spans="5:10" x14ac:dyDescent="0.2">
      <c r="E40" s="1"/>
      <c r="F40" s="4"/>
    </row>
    <row r="41" spans="5:10" x14ac:dyDescent="0.2">
      <c r="E41" s="1"/>
      <c r="F41" s="64"/>
    </row>
    <row r="44" spans="5:10" x14ac:dyDescent="0.2">
      <c r="E44" s="1"/>
      <c r="F44" s="2"/>
    </row>
  </sheetData>
  <mergeCells count="3">
    <mergeCell ref="B7:C7"/>
    <mergeCell ref="B8:C9"/>
    <mergeCell ref="B15:C1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EE5DA-0EF5-4F3B-8680-5DDEA5F7A6A8}">
  <sheetPr>
    <tabColor rgb="FF1F4E78"/>
  </sheetPr>
  <dimension ref="A1:F36"/>
  <sheetViews>
    <sheetView showGridLines="0" workbookViewId="0">
      <selection sqref="A1:F1"/>
    </sheetView>
  </sheetViews>
  <sheetFormatPr defaultColWidth="11.42578125" defaultRowHeight="12.75" x14ac:dyDescent="0.2"/>
  <cols>
    <col min="1" max="1" width="21" bestFit="1" customWidth="1"/>
    <col min="2" max="2" width="9.7109375" bestFit="1" customWidth="1"/>
    <col min="3" max="3" width="39" bestFit="1" customWidth="1"/>
    <col min="4" max="4" width="14" bestFit="1" customWidth="1"/>
    <col min="5" max="5" width="21.5703125" customWidth="1"/>
    <col min="6" max="6" width="14" bestFit="1" customWidth="1"/>
    <col min="7" max="7" width="11.7109375" customWidth="1"/>
  </cols>
  <sheetData>
    <row r="1" spans="1:6" ht="19.5" x14ac:dyDescent="0.3">
      <c r="A1" s="140" t="s">
        <v>42</v>
      </c>
      <c r="B1" s="140"/>
      <c r="C1" s="140"/>
      <c r="D1" s="140"/>
      <c r="E1" s="140"/>
      <c r="F1" s="140"/>
    </row>
    <row r="2" spans="1:6" x14ac:dyDescent="0.2">
      <c r="A2" s="141" t="s">
        <v>43</v>
      </c>
      <c r="B2" s="141"/>
      <c r="C2" s="141"/>
      <c r="D2" s="141"/>
      <c r="E2" s="141"/>
      <c r="F2" s="141"/>
    </row>
    <row r="3" spans="1:6" ht="13.15" customHeight="1" x14ac:dyDescent="0.2">
      <c r="A3" s="142" t="s">
        <v>44</v>
      </c>
      <c r="B3" s="142"/>
      <c r="C3" s="142"/>
      <c r="D3" s="142"/>
      <c r="E3" s="142"/>
      <c r="F3" s="142"/>
    </row>
    <row r="4" spans="1:6" x14ac:dyDescent="0.2">
      <c r="A4" s="118" t="s">
        <v>45</v>
      </c>
      <c r="B4" s="136" t="s">
        <v>46</v>
      </c>
      <c r="C4" s="143"/>
      <c r="D4" s="143"/>
      <c r="E4" s="143"/>
      <c r="F4" s="143"/>
    </row>
    <row r="5" spans="1:6" x14ac:dyDescent="0.2">
      <c r="A5" s="123">
        <v>1</v>
      </c>
      <c r="B5" s="132" t="s">
        <v>47</v>
      </c>
      <c r="C5" s="132"/>
      <c r="D5" s="132"/>
      <c r="E5" s="132"/>
      <c r="F5" s="132"/>
    </row>
    <row r="6" spans="1:6" x14ac:dyDescent="0.2">
      <c r="A6" s="123">
        <v>2</v>
      </c>
      <c r="B6" s="132" t="s">
        <v>48</v>
      </c>
      <c r="C6" s="132"/>
      <c r="D6" s="132"/>
      <c r="E6" s="132"/>
      <c r="F6" s="132"/>
    </row>
    <row r="7" spans="1:6" ht="13.15" customHeight="1" x14ac:dyDescent="0.2">
      <c r="A7" s="123">
        <v>3</v>
      </c>
      <c r="B7" s="135" t="s">
        <v>49</v>
      </c>
      <c r="C7" s="135"/>
      <c r="D7" s="135"/>
      <c r="E7" s="135"/>
      <c r="F7" s="135"/>
    </row>
    <row r="10" spans="1:6" x14ac:dyDescent="0.2">
      <c r="A10" s="118" t="s">
        <v>50</v>
      </c>
      <c r="B10" s="136" t="s">
        <v>51</v>
      </c>
      <c r="C10" s="137"/>
      <c r="D10" s="138" t="s">
        <v>52</v>
      </c>
      <c r="E10" s="139"/>
      <c r="F10" s="118" t="s">
        <v>53</v>
      </c>
    </row>
    <row r="11" spans="1:6" x14ac:dyDescent="0.2">
      <c r="A11" s="86" t="s">
        <v>54</v>
      </c>
      <c r="B11" s="131" t="s">
        <v>55</v>
      </c>
      <c r="C11" s="131"/>
      <c r="D11" s="132" t="str">
        <f>'Desglose automático'!B16</f>
        <v>SALARIO BASE</v>
      </c>
      <c r="E11" s="132"/>
      <c r="F11" s="121">
        <f>'Desglose automático'!C16</f>
        <v>1919.76</v>
      </c>
    </row>
    <row r="12" spans="1:6" x14ac:dyDescent="0.2">
      <c r="A12" s="86" t="s">
        <v>56</v>
      </c>
      <c r="B12" s="131" t="s">
        <v>57</v>
      </c>
      <c r="C12" s="131"/>
      <c r="D12" s="86" t="str">
        <f>'Desglose automático'!B17</f>
        <v>PRORRATEO DE PAGAS EXTRAS</v>
      </c>
      <c r="E12" s="86"/>
      <c r="F12" s="121">
        <f>'Desglose automático'!C17</f>
        <v>319.95999999999998</v>
      </c>
    </row>
    <row r="13" spans="1:6" x14ac:dyDescent="0.2">
      <c r="A13" s="86" t="s">
        <v>58</v>
      </c>
      <c r="B13" s="131" t="s">
        <v>59</v>
      </c>
      <c r="C13" s="131"/>
      <c r="D13" s="86" t="str">
        <f>'Desglose automático'!B18</f>
        <v>TOTAL BASE + PAGAS</v>
      </c>
      <c r="E13" s="86"/>
      <c r="F13" s="121">
        <f>'Desglose automático'!C18</f>
        <v>2239.7199999999998</v>
      </c>
    </row>
    <row r="14" spans="1:6" x14ac:dyDescent="0.2">
      <c r="A14" s="86" t="s">
        <v>60</v>
      </c>
      <c r="B14" s="131" t="s">
        <v>61</v>
      </c>
      <c r="C14" s="131"/>
      <c r="D14" s="86" t="str">
        <f>'Desglose automático'!B19</f>
        <v>PRORRATEO DE VACACIONES</v>
      </c>
      <c r="E14" s="86"/>
      <c r="F14" s="121">
        <f>'Desglose automático'!C19</f>
        <v>186.64333333333332</v>
      </c>
    </row>
    <row r="15" spans="1:6" x14ac:dyDescent="0.2">
      <c r="A15" s="86" t="s">
        <v>62</v>
      </c>
      <c r="B15" s="131" t="s">
        <v>63</v>
      </c>
      <c r="C15" s="131"/>
      <c r="D15" s="86" t="str">
        <f>'Desglose automático'!B20</f>
        <v>PRORRATEO DE INDEMNIZACIÓN (12 días/año)</v>
      </c>
      <c r="E15" s="86"/>
      <c r="F15" s="121">
        <f>'Desglose automático'!C20</f>
        <v>73.634630136986289</v>
      </c>
    </row>
    <row r="16" spans="1:6" x14ac:dyDescent="0.2">
      <c r="A16" s="86" t="s">
        <v>64</v>
      </c>
      <c r="B16" s="131" t="s">
        <v>65</v>
      </c>
      <c r="C16" s="131"/>
      <c r="D16" s="132" t="str">
        <f>'Desglose automático'!B21</f>
        <v>RETRIBUCIÓN TOTAL</v>
      </c>
      <c r="E16" s="132"/>
      <c r="F16" s="121">
        <f>'Desglose automático'!C21</f>
        <v>2499.9979634703195</v>
      </c>
    </row>
    <row r="19" spans="1:6" x14ac:dyDescent="0.2">
      <c r="A19" s="118" t="s">
        <v>66</v>
      </c>
      <c r="B19" s="118" t="s">
        <v>41</v>
      </c>
    </row>
    <row r="20" spans="1:6" x14ac:dyDescent="0.2">
      <c r="A20" s="86" t="s">
        <v>67</v>
      </c>
      <c r="B20" s="121">
        <f>'Desglose automático'!C12</f>
        <v>2500</v>
      </c>
    </row>
    <row r="21" spans="1:6" x14ac:dyDescent="0.2">
      <c r="A21" s="86" t="s">
        <v>64</v>
      </c>
      <c r="B21" s="121">
        <f>'Desglose automático'!C21</f>
        <v>2499.9979634703195</v>
      </c>
    </row>
    <row r="22" spans="1:6" x14ac:dyDescent="0.2">
      <c r="A22" s="86" t="s">
        <v>68</v>
      </c>
      <c r="B22" s="121">
        <f>B21-B20</f>
        <v>-2.0365296804811805E-3</v>
      </c>
    </row>
    <row r="23" spans="1:6" x14ac:dyDescent="0.2">
      <c r="A23" s="86" t="s">
        <v>69</v>
      </c>
      <c r="B23" s="122" t="str">
        <f>IF(ABS(B22)&lt;0.01,"OK","REVISAR")</f>
        <v>OK</v>
      </c>
    </row>
    <row r="25" spans="1:6" x14ac:dyDescent="0.2">
      <c r="A25" s="133"/>
      <c r="B25" s="134"/>
      <c r="C25" s="134"/>
      <c r="D25" s="134"/>
      <c r="E25" s="134"/>
      <c r="F25" s="134"/>
    </row>
    <row r="27" spans="1:6" x14ac:dyDescent="0.2">
      <c r="A27" s="117" t="s">
        <v>70</v>
      </c>
      <c r="B27" s="119"/>
      <c r="C27" s="119"/>
    </row>
    <row r="28" spans="1:6" x14ac:dyDescent="0.2">
      <c r="A28" s="95" t="s">
        <v>3</v>
      </c>
      <c r="B28" s="95"/>
      <c r="C28" s="95"/>
    </row>
    <row r="29" spans="1:6" x14ac:dyDescent="0.2">
      <c r="A29" s="86">
        <v>360</v>
      </c>
      <c r="B29" s="86">
        <v>30</v>
      </c>
      <c r="C29" s="120" t="s">
        <v>71</v>
      </c>
    </row>
    <row r="30" spans="1:6" x14ac:dyDescent="0.2">
      <c r="A30" s="86">
        <v>30</v>
      </c>
      <c r="B30" s="124">
        <f>A30*B29/A29</f>
        <v>2.5</v>
      </c>
      <c r="C30" s="120" t="s">
        <v>72</v>
      </c>
    </row>
    <row r="31" spans="1:6" x14ac:dyDescent="0.2">
      <c r="A31" s="86">
        <v>1</v>
      </c>
      <c r="B31" s="124">
        <f>A31*B30/A30</f>
        <v>8.3333333333333329E-2</v>
      </c>
      <c r="C31" s="120" t="s">
        <v>73</v>
      </c>
    </row>
    <row r="32" spans="1:6" x14ac:dyDescent="0.2">
      <c r="C32" s="96"/>
    </row>
    <row r="33" spans="1:3" x14ac:dyDescent="0.2">
      <c r="A33" s="95" t="s">
        <v>5</v>
      </c>
      <c r="B33" s="95"/>
      <c r="C33" s="95"/>
    </row>
    <row r="34" spans="1:3" x14ac:dyDescent="0.2">
      <c r="A34" s="86">
        <v>365</v>
      </c>
      <c r="B34" s="86">
        <v>12</v>
      </c>
      <c r="C34" s="120" t="s">
        <v>74</v>
      </c>
    </row>
    <row r="35" spans="1:3" x14ac:dyDescent="0.2">
      <c r="A35" s="86">
        <v>30</v>
      </c>
      <c r="B35" s="124">
        <f>A35*B34/A34</f>
        <v>0.98630136986301364</v>
      </c>
      <c r="C35" s="120" t="s">
        <v>72</v>
      </c>
    </row>
    <row r="36" spans="1:3" x14ac:dyDescent="0.2">
      <c r="A36" s="86">
        <v>1</v>
      </c>
      <c r="B36" s="124">
        <f>A36*B35/A35</f>
        <v>3.287671232876712E-2</v>
      </c>
      <c r="C36" s="120" t="s">
        <v>73</v>
      </c>
    </row>
  </sheetData>
  <mergeCells count="18">
    <mergeCell ref="B6:F6"/>
    <mergeCell ref="A1:F1"/>
    <mergeCell ref="A2:F2"/>
    <mergeCell ref="A3:F3"/>
    <mergeCell ref="B4:F4"/>
    <mergeCell ref="B5:F5"/>
    <mergeCell ref="A25:F25"/>
    <mergeCell ref="B7:F7"/>
    <mergeCell ref="B10:C10"/>
    <mergeCell ref="D10:E10"/>
    <mergeCell ref="B11:C11"/>
    <mergeCell ref="D11:E11"/>
    <mergeCell ref="B12:C12"/>
    <mergeCell ref="B13:C13"/>
    <mergeCell ref="B14:C14"/>
    <mergeCell ref="B15:C15"/>
    <mergeCell ref="B16:C16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6</vt:i4>
      </vt:variant>
      <vt:variant>
        <vt:lpstr>Intervals amb nom</vt:lpstr>
      </vt:variant>
      <vt:variant>
        <vt:i4>5</vt:i4>
      </vt:variant>
    </vt:vector>
  </HeadingPairs>
  <TitlesOfParts>
    <vt:vector size="11" baseType="lpstr">
      <vt:lpstr>Salario minimo Eventuales &lt; 180</vt:lpstr>
      <vt:lpstr>Hoja1</vt:lpstr>
      <vt:lpstr>Hoja 2 Festius</vt:lpstr>
      <vt:lpstr>DESGLOSE CONCEPTOS (focus)</vt:lpstr>
      <vt:lpstr>Desglose automático</vt:lpstr>
      <vt:lpstr>Guía rápida (ES)</vt:lpstr>
      <vt:lpstr>'Desglose automático'!Àrea_d'impressió</vt:lpstr>
      <vt:lpstr>'DESGLOSE CONCEPTOS (focus)'!Àrea_d'impressió</vt:lpstr>
      <vt:lpstr>'Hoja 2 Festius'!Àrea_d'impressió</vt:lpstr>
      <vt:lpstr>Hoja1!Àrea_d'impressió</vt:lpstr>
      <vt:lpstr>'Salario minimo Eventuales &lt; 180'!Àrea_d'impressió</vt:lpstr>
    </vt:vector>
  </TitlesOfParts>
  <Company>FOCUS,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G. Parejo</dc:creator>
  <cp:lastModifiedBy>Xavier Zarco</cp:lastModifiedBy>
  <cp:lastPrinted>2025-11-11T10:48:35Z</cp:lastPrinted>
  <dcterms:created xsi:type="dcterms:W3CDTF">2000-06-29T08:12:16Z</dcterms:created>
  <dcterms:modified xsi:type="dcterms:W3CDTF">2026-10-14T15:48:56Z</dcterms:modified>
</cp:coreProperties>
</file>